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state="hidden" r:id="rId5"/>
    <sheet name="MPM03A  " sheetId="6" r:id="rId6"/>
    <sheet name="MPM03A (2)" sheetId="7" state="hidden" r:id="rId7"/>
    <sheet name="desglose x cliente" sheetId="8" state="hidden" r:id="rId8"/>
  </sheets>
  <externalReferences>
    <externalReference r:id="rId11"/>
  </externalReference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<sst xmlns="http://schemas.openxmlformats.org/spreadsheetml/2006/main" count="661" uniqueCount="285">
  <si>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</si>
  <si>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</si>
  <si>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</si>
  <si>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</si>
  <si>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</si>
  <si>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</si>
  <si>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</si>
  <si>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</si>
  <si>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</si>
  <si>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</si>
  <si>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</si>
  <si>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</si>
  <si>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</si>
  <si>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</si>
  <si>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</si>
  <si>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</si>
  <si>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</si>
  <si>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</si>
  <si>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</si>
  <si>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</si>
  <si>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</si>
  <si>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</si>
  <si>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</si>
  <si>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</si>
  <si>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</si>
  <si>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</si>
  <si>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</si>
  <si>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</si>
  <si>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</si>
  <si>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</si>
  <si>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</si>
  <si>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</si>
  <si>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</si>
  <si>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</si>
  <si>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</si>
  <si>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</si>
  <si>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</si>
  <si>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</si>
  <si>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</si>
  <si>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</si>
  <si>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</si>
  <si>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</si>
  <si>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</si>
  <si>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</si>
  <si>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</si>
  <si>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</si>
  <si>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</si>
  <si>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</si>
  <si>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</si>
  <si>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</si>
  <si>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</si>
  <si>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</si>
  <si>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</si>
  <si>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</si>
  <si>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</si>
  <si>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</si>
  <si>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</si>
  <si>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</si>
  <si>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</si>
  <si>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</si>
  <si>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</si>
  <si>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</si>
  <si>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</si>
  <si>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</si>
  <si>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</si>
  <si>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</si>
  <si>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</si>
  <si>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</si>
  <si>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</si>
  <si>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</si>
  <si>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</si>
  <si>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</si>
  <si>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</si>
  <si>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</si>
  <si>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</si>
  <si>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</si>
  <si>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</si>
  <si>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</si>
  <si>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</si>
  <si>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</si>
  <si>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</si>
  <si>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</si>
  <si>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</si>
  <si>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</si>
  <si>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</si>
  <si>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</si>
  <si>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</si>
  <si>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</si>
  <si>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</si>
  <si>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</si>
  <si>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</si>
  <si>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</si>
  <si>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</si>
  <si>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</si>
  <si>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</si>
  <si>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</si>
  <si>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</si>
  <si>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</si>
  <si>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</si>
  <si>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</si>
  <si>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</si>
  <si>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</si>
  <si>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</si>
  <si>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</si>
  <si>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</si>
  <si>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</si>
  <si>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</si>
  <si>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</si>
  <si>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</si>
  <si>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</si>
  <si>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</si>
  <si>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</si>
  <si>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</si>
  <si>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</si>
  <si>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una embarcación en su arribo, al pasarse de una terminal a otra (TUM, Terminal de Abastecimiento) sin salir del puerto.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</si>
  <si>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</si>
  <si>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</si>
  <si>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</si>
  <si>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</si>
  <si>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</si>
  <si>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</si>
  <si>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</si>
  <si>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</si>
  <si>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</si>
  <si>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</si>
  <si>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</si>
  <si>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</si>
  <si>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</si>
  <si>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</si>
  <si>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</si>
  <si>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</si>
  <si>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</si>
  <si>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</si>
  <si>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</si>
  <si>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</si>
  <si>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</si>
  <si>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</si>
  <si>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</si>
  <si>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</si>
  <si>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</si>
  <si>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</si>
  <si>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</si>
  <si>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</si>
  <si>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</si>
  <si>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</si>
  <si>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</si>
  <si>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</si>
  <si>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</si>
  <si>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</si>
  <si>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</si>
  <si>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</si>
  <si>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</si>
  <si>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</si>
  <si>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</si>
  <si>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</si>
  <si>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</si>
  <si>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</si>
  <si>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</si>
  <si>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</si>
  <si>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</si>
  <si>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</si>
  <si>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</si>
  <si>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</si>
  <si>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</si>
  <si>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</si>
  <si>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</si>
  <si>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</si>
  <si>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</si>
  <si>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</si>
  <si>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</si>
  <si>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</si>
  <si>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</si>
  <si>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</si>
  <si>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</si>
  <si>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</si>
  <si>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</si>
  <si>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</si>
  <si>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</si>
  <si>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</si>
  <si>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</si>
  <si>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</si>
  <si>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</si>
  <si>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</si>
  <si>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</si>
  <si>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</si>
  <si>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</si>
  <si>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</si>
  <si>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</si>
  <si>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</si>
  <si>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</si>
  <si>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</si>
  <si>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</si>
  <si>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</si>
  <si>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</si>
  <si>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</si>
  <si>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</si>
  <si>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</si>
  <si>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</si>
  <si>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</si>
  <si>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</si>
  <si>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</si>
  <si>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</si>
  <si>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</si>
  <si>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</si>
  <si>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</si>
  <si>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</si>
  <si>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</si>
  <si>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</si>
  <si>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</si>
  <si>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</si>
  <si>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</si>
  <si>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-</t>
  </si>
  <si>
    <t>KOA SPIRIT</t>
  </si>
  <si>
    <t>BAHAMAS</t>
  </si>
  <si>
    <t>BUQUE TANQUE</t>
  </si>
  <si>
    <t>18 X 28</t>
  </si>
  <si>
    <t>ESTADOS UNIDOS DE AMERICA</t>
  </si>
  <si>
    <t>EAGLE ANAHEIM</t>
  </si>
  <si>
    <t>SINGAPUR</t>
  </si>
  <si>
    <t>EAGLE AUSTIN</t>
  </si>
  <si>
    <t>MEXICO</t>
  </si>
  <si>
    <t>SENTINEL SPIRIT</t>
  </si>
  <si>
    <t>ISLAS MARSHALL</t>
  </si>
  <si>
    <t>NEW CONSTELLATION</t>
  </si>
  <si>
    <t>OVERSEAS FRAN</t>
  </si>
  <si>
    <t>PETROZAVODSK</t>
  </si>
  <si>
    <t>LIBERIA</t>
  </si>
  <si>
    <t>D.T. MARIANO</t>
  </si>
  <si>
    <t>ITALIA</t>
  </si>
  <si>
    <t>ETC RAMSIS</t>
  </si>
  <si>
    <t>SEAMAGIC</t>
  </si>
  <si>
    <t>MALTA</t>
  </si>
  <si>
    <t>CONSTITUTION SPIRIT</t>
  </si>
  <si>
    <t>ACTION</t>
  </si>
  <si>
    <t>NORUEGA</t>
  </si>
  <si>
    <t>CAPE AVILA</t>
  </si>
  <si>
    <t>CHIPRE</t>
  </si>
  <si>
    <t>YASA GOLDEN BOSPHORUS</t>
  </si>
  <si>
    <t>ESTEEM BRILLIANCE</t>
  </si>
  <si>
    <t>PANAMA</t>
  </si>
  <si>
    <t>ASTRO ANTARES</t>
  </si>
  <si>
    <t>GRECIA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</si>
  <si>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</si>
  <si>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</si>
  <si>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</si>
  <si>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</si>
  <si>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</si>
  <si>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</si>
  <si>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</si>
  <si>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</si>
  <si>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AMC DAISY</t>
  </si>
  <si>
    <t>BUQUE MOTOR</t>
  </si>
  <si>
    <t>HOUSTON TEXAS</t>
  </si>
  <si>
    <t>VERACRUZ</t>
  </si>
  <si>
    <t>PUNTA DELGADA</t>
  </si>
  <si>
    <t>ABASTECEDOR</t>
  </si>
  <si>
    <t>AREA DE PLATAFORMAS</t>
  </si>
  <si>
    <t>UOS CHALLENGER</t>
  </si>
  <si>
    <t>REMOLCADOR ABASTECEDOR</t>
  </si>
  <si>
    <t>PUNTILLA</t>
  </si>
  <si>
    <t>MEXICANA</t>
  </si>
  <si>
    <t>LANCHA DE PASAJE</t>
  </si>
  <si>
    <t>DOLLART</t>
  </si>
  <si>
    <t>GIBRALTAR</t>
  </si>
  <si>
    <t xml:space="preserve">HOUSTON </t>
  </si>
  <si>
    <t>CONCENTRADO DE ARRIBO Y CARGA OPERADA (2009 - 2010 - POA)</t>
  </si>
  <si>
    <t>Terminal de Abastecimiento (Off Shore)</t>
  </si>
  <si>
    <t>ARRIBO DE EMBARCACIONES 2009</t>
  </si>
  <si>
    <t>ARRIBO DE EMBARCACIONES POA</t>
  </si>
  <si>
    <t>COMPARATIVO 2010 vs 2009 %</t>
  </si>
  <si>
    <t>COMPARATIVO 2010 vs POA %</t>
  </si>
  <si>
    <t>CARGA OPERADA 2010</t>
  </si>
  <si>
    <t>Monoboyas</t>
  </si>
  <si>
    <t>Terminal de Abastecimiento</t>
  </si>
  <si>
    <t>Terminal de Usos Multiples</t>
  </si>
  <si>
    <t>Bj Services</t>
  </si>
  <si>
    <t>Schlumberger</t>
  </si>
  <si>
    <t>Escudero</t>
  </si>
  <si>
    <t>Holcim Apasco</t>
  </si>
  <si>
    <t>CARGA OPERADA 2009</t>
  </si>
  <si>
    <t>CARGA OPERADA POA</t>
  </si>
  <si>
    <t>ARRIBO DE EMBARCACIONES 2010</t>
  </si>
  <si>
    <t>Tamsa</t>
  </si>
  <si>
    <t>Otros (Mi Drilling Fuids, Mi swaco, Goimar, Ensco, TMM)</t>
  </si>
  <si>
    <t>Otros (Goimar, Noble, TMM, Mi Swaco)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</si>
</sst>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Cambria"/>
      <family val="1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 style="medium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left"/>
    </xf>
    <xf numFmtId="4" fontId="12" fillId="0" borderId="59" xfId="0" applyNumberFormat="1" applyFont="1" applyFill="1" applyBorder="1" applyAlignment="1">
      <alignment horizontal="center"/>
    </xf>
    <xf numFmtId="1" fontId="1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1" fillId="0" borderId="0" xfId="0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center"/>
    </xf>
    <xf numFmtId="43" fontId="34" fillId="0" borderId="60" xfId="0" applyNumberFormat="1" applyFont="1" applyFill="1" applyBorder="1" applyAlignment="1">
      <alignment horizontal="center"/>
    </xf>
    <xf numFmtId="22" fontId="34" fillId="0" borderId="61" xfId="0" applyNumberFormat="1" applyFont="1" applyFill="1" applyBorder="1" applyAlignment="1">
      <alignment horizontal="left"/>
    </xf>
    <xf numFmtId="0" fontId="34" fillId="0" borderId="59" xfId="0" applyFont="1" applyFill="1" applyBorder="1" applyAlignment="1">
      <alignment horizontal="left"/>
    </xf>
    <xf numFmtId="43" fontId="34" fillId="0" borderId="59" xfId="0" applyNumberFormat="1" applyFont="1" applyFill="1" applyBorder="1" applyAlignment="1">
      <alignment horizontal="center"/>
    </xf>
    <xf numFmtId="22" fontId="34" fillId="0" borderId="62" xfId="0" applyNumberFormat="1" applyFont="1" applyFill="1" applyBorder="1" applyAlignment="1">
      <alignment horizontal="left"/>
    </xf>
    <xf numFmtId="43" fontId="0" fillId="0" borderId="0" xfId="0" applyNumberFormat="1" applyAlignment="1">
      <alignment/>
    </xf>
    <xf numFmtId="0" fontId="17" fillId="33" borderId="63" xfId="0" applyFont="1" applyFill="1" applyBorder="1" applyAlignment="1">
      <alignment horizontal="center" vertical="center"/>
    </xf>
    <xf numFmtId="17" fontId="17" fillId="33" borderId="64" xfId="0" applyNumberFormat="1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left" vertical="center"/>
    </xf>
    <xf numFmtId="0" fontId="13" fillId="0" borderId="66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 horizontal="right"/>
    </xf>
    <xf numFmtId="0" fontId="11" fillId="0" borderId="67" xfId="0" applyFont="1" applyBorder="1" applyAlignment="1">
      <alignment horizontal="right"/>
    </xf>
    <xf numFmtId="0" fontId="11" fillId="0" borderId="67" xfId="0" applyFont="1" applyFill="1" applyBorder="1" applyAlignment="1">
      <alignment horizontal="right"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 horizontal="right"/>
    </xf>
    <xf numFmtId="0" fontId="11" fillId="0" borderId="70" xfId="0" applyFont="1" applyBorder="1" applyAlignment="1">
      <alignment horizontal="right"/>
    </xf>
    <xf numFmtId="0" fontId="17" fillId="33" borderId="71" xfId="0" applyFont="1" applyFill="1" applyBorder="1" applyAlignment="1">
      <alignment horizontal="left" vertical="center"/>
    </xf>
    <xf numFmtId="4" fontId="17" fillId="33" borderId="72" xfId="0" applyNumberFormat="1" applyFont="1" applyFill="1" applyBorder="1" applyAlignment="1">
      <alignment horizontal="center" vertical="center"/>
    </xf>
    <xf numFmtId="4" fontId="17" fillId="33" borderId="73" xfId="0" applyNumberFormat="1" applyFont="1" applyFill="1" applyBorder="1" applyAlignment="1">
      <alignment horizontal="center" vertic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11" fillId="0" borderId="76" xfId="0" applyFont="1" applyBorder="1" applyAlignment="1">
      <alignment horizontal="right"/>
    </xf>
    <xf numFmtId="4" fontId="13" fillId="0" borderId="66" xfId="0" applyNumberFormat="1" applyFont="1" applyBorder="1" applyAlignment="1">
      <alignment horizontal="right"/>
    </xf>
    <xf numFmtId="4" fontId="13" fillId="0" borderId="67" xfId="0" applyNumberFormat="1" applyFont="1" applyBorder="1" applyAlignment="1">
      <alignment horizontal="right"/>
    </xf>
    <xf numFmtId="0" fontId="11" fillId="0" borderId="65" xfId="0" applyFont="1" applyFill="1" applyBorder="1" applyAlignment="1">
      <alignment/>
    </xf>
    <xf numFmtId="4" fontId="11" fillId="0" borderId="66" xfId="0" applyNumberFormat="1" applyFont="1" applyFill="1" applyBorder="1" applyAlignment="1">
      <alignment horizontal="right"/>
    </xf>
    <xf numFmtId="4" fontId="11" fillId="0" borderId="67" xfId="0" applyNumberFormat="1" applyFont="1" applyFill="1" applyBorder="1" applyAlignment="1">
      <alignment horizontal="right"/>
    </xf>
    <xf numFmtId="0" fontId="13" fillId="0" borderId="65" xfId="0" applyFont="1" applyFill="1" applyBorder="1" applyAlignment="1">
      <alignment horizontal="left" vertical="top"/>
    </xf>
    <xf numFmtId="4" fontId="13" fillId="0" borderId="66" xfId="0" applyNumberFormat="1" applyFont="1" applyFill="1" applyBorder="1" applyAlignment="1">
      <alignment horizontal="right"/>
    </xf>
    <xf numFmtId="4" fontId="13" fillId="0" borderId="67" xfId="0" applyNumberFormat="1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35" fillId="0" borderId="68" xfId="0" applyFont="1" applyFill="1" applyBorder="1" applyAlignment="1">
      <alignment horizontal="right"/>
    </xf>
    <xf numFmtId="4" fontId="11" fillId="0" borderId="69" xfId="0" applyNumberFormat="1" applyFont="1" applyFill="1" applyBorder="1" applyAlignment="1">
      <alignment horizontal="right"/>
    </xf>
    <xf numFmtId="4" fontId="11" fillId="0" borderId="70" xfId="0" applyNumberFormat="1" applyFont="1" applyFill="1" applyBorder="1" applyAlignment="1">
      <alignment horizontal="right"/>
    </xf>
    <xf numFmtId="0" fontId="35" fillId="0" borderId="57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1" fillId="0" borderId="77" xfId="0" applyNumberFormat="1" applyFont="1" applyFill="1" applyBorder="1" applyAlignment="1">
      <alignment horizontal="right"/>
    </xf>
    <xf numFmtId="4" fontId="11" fillId="0" borderId="66" xfId="0" applyNumberFormat="1" applyFont="1" applyBorder="1" applyAlignment="1">
      <alignment horizontal="right"/>
    </xf>
    <xf numFmtId="0" fontId="35" fillId="0" borderId="78" xfId="0" applyFont="1" applyFill="1" applyBorder="1" applyAlignment="1">
      <alignment horizontal="center"/>
    </xf>
    <xf numFmtId="4" fontId="11" fillId="0" borderId="79" xfId="0" applyNumberFormat="1" applyFont="1" applyFill="1" applyBorder="1" applyAlignment="1">
      <alignment horizontal="right"/>
    </xf>
    <xf numFmtId="4" fontId="11" fillId="0" borderId="80" xfId="0" applyNumberFormat="1" applyFont="1" applyFill="1" applyBorder="1" applyAlignment="1">
      <alignment horizontal="right"/>
    </xf>
    <xf numFmtId="4" fontId="76" fillId="0" borderId="59" xfId="0" applyNumberFormat="1" applyFont="1" applyFill="1" applyBorder="1" applyAlignment="1">
      <alignment horizontal="center"/>
    </xf>
    <xf numFmtId="0" fontId="35" fillId="0" borderId="57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81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tilo\MIS%20DOCUMENTOS%20RUTILO\ESTADISTICAS\ESTADISTICAS%202009\P&#225;gina%20Web\Pagina%20Web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.PortuarioMensual "/>
      <sheetName val="Mov. Embarcaciones "/>
      <sheetName val="Mov. carga "/>
      <sheetName val="mpm01"/>
      <sheetName val="mpm02"/>
      <sheetName val="MPM03A  "/>
      <sheetName val="MPM03A (2)"/>
    </sheetNames>
    <sheetDataSet>
      <sheetData sheetId="0">
        <row r="8">
          <cell r="C8">
            <v>477</v>
          </cell>
          <cell r="D8">
            <v>425</v>
          </cell>
          <cell r="E8">
            <v>383</v>
          </cell>
          <cell r="F8">
            <v>415</v>
          </cell>
          <cell r="G8">
            <v>413</v>
          </cell>
          <cell r="H8">
            <v>435</v>
          </cell>
          <cell r="I8">
            <v>433</v>
          </cell>
          <cell r="J8">
            <v>463</v>
          </cell>
        </row>
        <row r="9">
          <cell r="C9">
            <v>16</v>
          </cell>
          <cell r="D9">
            <v>24</v>
          </cell>
        </row>
        <row r="10">
          <cell r="C10">
            <v>7</v>
          </cell>
        </row>
        <row r="11">
          <cell r="C11">
            <v>13</v>
          </cell>
        </row>
        <row r="37">
          <cell r="C37">
            <v>99199.91</v>
          </cell>
          <cell r="D37">
            <v>81570.53</v>
          </cell>
          <cell r="E37">
            <v>103035.37</v>
          </cell>
          <cell r="F37">
            <v>97178.1</v>
          </cell>
          <cell r="G37">
            <v>111076.95</v>
          </cell>
          <cell r="H37">
            <v>138015.65</v>
          </cell>
          <cell r="I37">
            <v>127080.42</v>
          </cell>
          <cell r="J37">
            <v>205189.18</v>
          </cell>
        </row>
        <row r="39">
          <cell r="C39">
            <v>30016.1</v>
          </cell>
          <cell r="D39">
            <v>25159.56</v>
          </cell>
          <cell r="E39">
            <v>25362.541</v>
          </cell>
          <cell r="F39">
            <v>37330.403</v>
          </cell>
          <cell r="G39">
            <v>35709.3</v>
          </cell>
          <cell r="H39">
            <v>40164.229</v>
          </cell>
          <cell r="I39">
            <v>44536.23</v>
          </cell>
          <cell r="J39">
            <v>54086.458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D1">
      <pane ySplit="2640" topLeftCell="A25" activePane="bottomLeft" state="split"/>
      <selection pane="topLeft" activeCell="B1" sqref="B1"/>
      <selection pane="bottomLeft" activeCell="M39" activeCellId="1" sqref="M37 M39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3" width="10.8515625" style="1" customWidth="1"/>
    <col min="14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79" t="s">
        <v>99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ht="13.5" thickBot="1"/>
    <row r="5" spans="1:16" s="98" customFormat="1" ht="34.5" thickBot="1">
      <c r="A5" s="280" t="s">
        <v>0</v>
      </c>
      <c r="B5" s="281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77" t="s">
        <v>2</v>
      </c>
      <c r="B7" s="278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463</v>
      </c>
      <c r="N7" s="10">
        <f t="shared" si="1"/>
        <v>0</v>
      </c>
      <c r="O7" s="11">
        <f>SUM(C7:N7)</f>
        <v>5168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>
        <v>400</v>
      </c>
      <c r="N8" s="5"/>
      <c r="O8" s="11">
        <f>SUM(C8:N8)</f>
        <v>4319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>
        <v>7</v>
      </c>
      <c r="N9" s="5"/>
      <c r="O9" s="11">
        <f>SUM(C9:N9)</f>
        <v>156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>
        <v>40</v>
      </c>
      <c r="N10" s="5"/>
      <c r="O10" s="11">
        <f>SUM(C10:N10)</f>
        <v>585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>
        <v>10</v>
      </c>
      <c r="M11" s="5">
        <v>16</v>
      </c>
      <c r="N11" s="5"/>
      <c r="O11" s="11">
        <f>SUM(C11:N11)</f>
        <v>108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77" t="s">
        <v>3</v>
      </c>
      <c r="B13" s="278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486</v>
      </c>
      <c r="N13" s="10">
        <f t="shared" si="3"/>
        <v>0</v>
      </c>
      <c r="O13" s="11">
        <f aca="true" t="shared" si="4" ref="O13:O19">SUM(C13:N13)</f>
        <v>5929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>
        <v>7</v>
      </c>
      <c r="N14" s="5"/>
      <c r="O14" s="11">
        <f t="shared" si="4"/>
        <v>156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>
        <v>56</v>
      </c>
      <c r="N15" s="5"/>
      <c r="O15" s="11">
        <f t="shared" si="4"/>
        <v>1074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>
        <v>401</v>
      </c>
      <c r="N16" s="5"/>
      <c r="O16" s="11">
        <f t="shared" si="4"/>
        <v>4521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>
        <v>6</v>
      </c>
      <c r="N17" s="5"/>
      <c r="O17" s="11">
        <f t="shared" si="4"/>
        <v>70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>
        <v>10</v>
      </c>
      <c r="M18" s="5">
        <v>16</v>
      </c>
      <c r="N18" s="5"/>
      <c r="O18" s="11">
        <f t="shared" si="4"/>
        <v>108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77" t="s">
        <v>51</v>
      </c>
      <c r="B21" s="27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1016349.2729999998</v>
      </c>
      <c r="M22" s="15">
        <f t="shared" si="6"/>
        <v>1520279.3100000003</v>
      </c>
      <c r="N22" s="15">
        <f t="shared" si="6"/>
        <v>0</v>
      </c>
      <c r="O22" s="16">
        <f aca="true" t="shared" si="7" ref="O22:O29">SUM(C22:N22)</f>
        <v>11390773.712000001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844092.5099999999</v>
      </c>
      <c r="M23" s="15">
        <f t="shared" si="9"/>
        <v>1327314.9000000001</v>
      </c>
      <c r="N23" s="15">
        <f t="shared" si="9"/>
        <v>0</v>
      </c>
      <c r="O23" s="16">
        <f t="shared" si="7"/>
        <v>9037525.835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>
        <v>5278.07</v>
      </c>
      <c r="M24" s="94">
        <v>1224.11</v>
      </c>
      <c r="N24" s="94"/>
      <c r="O24" s="16">
        <f t="shared" si="7"/>
        <v>75949.705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25">
        <v>838814.44</v>
      </c>
      <c r="M25" s="125">
        <v>1326090.79</v>
      </c>
      <c r="N25" s="125"/>
      <c r="O25" s="16">
        <f t="shared" si="7"/>
        <v>8961576.129999999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25">
        <v>154297</v>
      </c>
      <c r="M26" s="125">
        <v>163443</v>
      </c>
      <c r="N26" s="125"/>
      <c r="O26" s="16">
        <f>SUM(C26:N26)</f>
        <v>1969781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>
        <v>14420.793</v>
      </c>
      <c r="M27" s="125">
        <v>28708.36</v>
      </c>
      <c r="N27" s="125"/>
      <c r="O27" s="16">
        <f t="shared" si="7"/>
        <v>342311.24199999997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>
        <v>2159.84</v>
      </c>
      <c r="M28" s="94">
        <v>0</v>
      </c>
      <c r="N28" s="125"/>
      <c r="O28" s="16">
        <f t="shared" si="7"/>
        <v>18633.428000000004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>
        <v>1379.13</v>
      </c>
      <c r="M29" s="94">
        <v>813.05</v>
      </c>
      <c r="N29" s="125"/>
      <c r="O29" s="16">
        <f t="shared" si="7"/>
        <v>22522.207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1"/>
        <v>1520279.3090000001</v>
      </c>
      <c r="N31" s="127">
        <f t="shared" si="11"/>
        <v>0</v>
      </c>
      <c r="O31" s="17">
        <f aca="true" t="shared" si="12" ref="O31:O39">SUM(C31:N31)</f>
        <v>11420845.787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>
        <v>79.88</v>
      </c>
      <c r="M32" s="94">
        <v>1224.11</v>
      </c>
      <c r="N32" s="125"/>
      <c r="O32" s="17">
        <f t="shared" si="12"/>
        <v>6242.054999999999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>
        <v>1446.1</v>
      </c>
      <c r="M33" s="94">
        <v>141.35</v>
      </c>
      <c r="N33" s="125"/>
      <c r="O33" s="17">
        <f t="shared" si="12"/>
        <v>6847.457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>
        <v>622.85</v>
      </c>
      <c r="M36" s="125">
        <v>0</v>
      </c>
      <c r="N36" s="125"/>
      <c r="O36" s="132">
        <f t="shared" si="12"/>
        <v>65416.77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>
        <v>154297</v>
      </c>
      <c r="M37" s="125">
        <v>163443</v>
      </c>
      <c r="N37" s="125"/>
      <c r="O37" s="132">
        <f t="shared" si="12"/>
        <v>1969781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>
        <v>6668.21</v>
      </c>
      <c r="M38" s="125">
        <v>671.7</v>
      </c>
      <c r="N38" s="125"/>
      <c r="O38" s="132">
        <f t="shared" si="12"/>
        <v>43080.587999999996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>
        <v>14420.793</v>
      </c>
      <c r="M39" s="128">
        <v>28708.359</v>
      </c>
      <c r="N39" s="128"/>
      <c r="O39" s="132">
        <f t="shared" si="12"/>
        <v>342311.23699999996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>
        <v>838814.44</v>
      </c>
      <c r="M40" s="128">
        <v>1326090.79</v>
      </c>
      <c r="N40" s="128"/>
      <c r="O40" s="132">
        <f>SUM(C40:N40)</f>
        <v>8987166.68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4"/>
      <c r="F41" s="134"/>
      <c r="G41" s="134"/>
      <c r="H41" s="134"/>
      <c r="I41" s="134"/>
      <c r="J41" s="134"/>
      <c r="K41" s="134"/>
      <c r="L41" s="135"/>
      <c r="M41" s="135"/>
      <c r="N41" s="135"/>
      <c r="O41" s="136"/>
      <c r="P41" s="136"/>
    </row>
    <row r="42" spans="1:16" s="7" customFormat="1" ht="11.25">
      <c r="A42" s="277" t="s">
        <v>15</v>
      </c>
      <c r="B42" s="278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77" t="s">
        <v>18</v>
      </c>
      <c r="B48" s="278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77" t="s">
        <v>66</v>
      </c>
      <c r="B52" s="278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109</v>
      </c>
      <c r="M52" s="21">
        <f t="shared" si="18"/>
        <v>49</v>
      </c>
      <c r="N52" s="21">
        <f t="shared" si="18"/>
        <v>0</v>
      </c>
      <c r="O52" s="22">
        <f>SUM(C52:N52)</f>
        <v>5771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>
        <v>71</v>
      </c>
      <c r="M53" s="23">
        <v>26</v>
      </c>
      <c r="N53" s="23"/>
      <c r="O53" s="22">
        <f>SUM(C53:N53)</f>
        <v>2992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>
        <v>35</v>
      </c>
      <c r="L54" s="23">
        <v>38</v>
      </c>
      <c r="M54" s="23">
        <v>23</v>
      </c>
      <c r="N54" s="23"/>
      <c r="O54" s="22">
        <f>SUM(C54:N54)</f>
        <v>2779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"/>
      <c r="O55" s="10"/>
      <c r="P55" s="10"/>
    </row>
    <row r="56" spans="1:16" s="7" customFormat="1" ht="11.25">
      <c r="A56" s="277" t="s">
        <v>20</v>
      </c>
      <c r="B56" s="278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/>
      <c r="O57" s="11">
        <f>SUM(C57:M57)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77" t="s">
        <v>75</v>
      </c>
      <c r="B59" s="278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/>
      <c r="O60" s="23">
        <f>SUM(C60:M60)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/>
      <c r="O61" s="23">
        <f>SUM(C61:M61)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>
        <f>SUM(C62:M62)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Q7" sqref="Q7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hidden="1" customWidth="1"/>
    <col min="15" max="15" width="10.7109375" style="0" customWidth="1"/>
  </cols>
  <sheetData>
    <row r="2" spans="2:15" ht="25.5" customHeight="1">
      <c r="B2" s="282" t="s">
        <v>100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>
        <v>200</v>
      </c>
      <c r="M5" s="40">
        <v>236</v>
      </c>
      <c r="N5" s="40"/>
      <c r="O5" s="41">
        <f>SUM(C5:N5)</f>
        <v>2461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>
        <v>10</v>
      </c>
      <c r="M6" s="40">
        <v>15</v>
      </c>
      <c r="N6" s="40"/>
      <c r="O6" s="41">
        <f aca="true" t="shared" si="0" ref="O6:O12">SUM(C6:N6)</f>
        <v>185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>
        <v>2</v>
      </c>
      <c r="M7" s="40">
        <v>5</v>
      </c>
      <c r="N7" s="40"/>
      <c r="O7" s="41">
        <f t="shared" si="0"/>
        <v>29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>
        <v>129</v>
      </c>
      <c r="M8" s="40">
        <v>128</v>
      </c>
      <c r="N8" s="40"/>
      <c r="O8" s="41">
        <f t="shared" si="0"/>
        <v>1474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>
        <v>3</v>
      </c>
      <c r="M9" s="40">
        <v>6</v>
      </c>
      <c r="N9" s="40"/>
      <c r="O9" s="41">
        <f t="shared" si="0"/>
        <v>70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>
        <v>0</v>
      </c>
      <c r="M10" s="40">
        <v>10</v>
      </c>
      <c r="N10" s="40"/>
      <c r="O10" s="41">
        <f t="shared" si="0"/>
        <v>100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344</v>
      </c>
      <c r="M12" s="43">
        <f t="shared" si="2"/>
        <v>400</v>
      </c>
      <c r="N12" s="43">
        <f t="shared" si="2"/>
        <v>0</v>
      </c>
      <c r="O12" s="41">
        <f t="shared" si="0"/>
        <v>4319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82" t="s">
        <v>101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>
        <v>10</v>
      </c>
      <c r="M17" s="111">
        <v>10</v>
      </c>
      <c r="N17" s="111"/>
      <c r="O17" s="41">
        <f>SUM(C17:N17)</f>
        <v>167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>
        <v>15</v>
      </c>
      <c r="M18" s="112">
        <v>13</v>
      </c>
      <c r="N18" s="112"/>
      <c r="O18" s="41">
        <f aca="true" t="shared" si="3" ref="O18:O25">SUM(C18:N18)</f>
        <v>108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>
        <v>7</v>
      </c>
      <c r="M19" s="111">
        <v>4</v>
      </c>
      <c r="N19" s="111"/>
      <c r="O19" s="41">
        <f t="shared" si="3"/>
        <v>18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>
        <v>17</v>
      </c>
      <c r="M20" s="111">
        <v>14</v>
      </c>
      <c r="N20" s="111"/>
      <c r="O20" s="41">
        <f t="shared" si="3"/>
        <v>399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>
        <v>1</v>
      </c>
      <c r="M21" s="111">
        <v>3</v>
      </c>
      <c r="N21" s="111"/>
      <c r="O21" s="41">
        <f t="shared" si="3"/>
        <v>18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>
        <v>2</v>
      </c>
      <c r="M22" s="111">
        <v>3</v>
      </c>
      <c r="N22" s="111"/>
      <c r="O22" s="41">
        <f t="shared" si="3"/>
        <v>28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>
        <v>0</v>
      </c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52</v>
      </c>
      <c r="M26" s="46">
        <f t="shared" si="5"/>
        <v>47</v>
      </c>
      <c r="N26" s="46">
        <f t="shared" si="5"/>
        <v>0</v>
      </c>
      <c r="O26" s="41">
        <f>SUM(C26:N26)</f>
        <v>741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82" t="s">
        <v>102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>
        <v>10</v>
      </c>
      <c r="M31" s="111">
        <v>16</v>
      </c>
      <c r="N31" s="111"/>
      <c r="O31" s="41">
        <f>SUM(C31:N31)</f>
        <v>108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10</v>
      </c>
      <c r="M32" s="46">
        <f t="shared" si="6"/>
        <v>16</v>
      </c>
      <c r="N32" s="46">
        <f>N31</f>
        <v>0</v>
      </c>
      <c r="O32" s="41">
        <f>SUM(C32:N32)</f>
        <v>108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37">
      <pane xSplit="1" topLeftCell="C1" activePane="topRight" state="frozen"/>
      <selection pane="topLeft" activeCell="F17" sqref="F17:G17"/>
      <selection pane="topRight" activeCell="B10" sqref="B10:O10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3" width="10.28125" style="38" customWidth="1"/>
    <col min="14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84" t="s">
        <v>103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>
        <v>586174.29</v>
      </c>
      <c r="M4" s="113">
        <v>1149962.38</v>
      </c>
      <c r="N4" s="113"/>
      <c r="O4" s="52">
        <f>SUM(D4:N4)</f>
        <v>6266811.74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>
        <v>252640.15</v>
      </c>
      <c r="M5" s="113">
        <v>176128.41</v>
      </c>
      <c r="N5" s="113"/>
      <c r="O5" s="52">
        <f>SUM(D5:N5)</f>
        <v>1998827.76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838814.4400000001</v>
      </c>
      <c r="M7" s="60">
        <f t="shared" si="1"/>
        <v>1326090.7899999998</v>
      </c>
      <c r="N7" s="60">
        <f t="shared" si="1"/>
        <v>0</v>
      </c>
      <c r="O7" s="52">
        <f>SUM(C7:N7)</f>
        <v>8987166.639999999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83" t="s">
        <v>42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29">
        <v>144060</v>
      </c>
      <c r="M13" s="129">
        <v>155818</v>
      </c>
      <c r="N13" s="118"/>
      <c r="O13" s="67">
        <f>SUM(C13:N13)</f>
        <v>1813746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29">
        <v>8979</v>
      </c>
      <c r="M14" s="129">
        <v>6679</v>
      </c>
      <c r="N14" s="118"/>
      <c r="O14" s="67">
        <f>SUM(C14:N14)</f>
        <v>124235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29">
        <v>1258</v>
      </c>
      <c r="M15" s="129">
        <v>946</v>
      </c>
      <c r="N15" s="118"/>
      <c r="O15" s="67">
        <f>SUM(C15:N15)</f>
        <v>31800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154297</v>
      </c>
      <c r="M16" s="115">
        <f t="shared" si="2"/>
        <v>163443</v>
      </c>
      <c r="N16" s="115">
        <f t="shared" si="2"/>
        <v>0</v>
      </c>
      <c r="O16" s="67">
        <f>SUM(C16:N16)</f>
        <v>1969781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83" t="s">
        <v>104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38">
        <v>14420.793</v>
      </c>
      <c r="M24" s="138">
        <v>28708.359</v>
      </c>
      <c r="N24" s="116"/>
      <c r="O24" s="77">
        <f>SUM(C24:N24)</f>
        <v>342311.24199999997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14420.793</v>
      </c>
      <c r="M25" s="79">
        <f t="shared" si="4"/>
        <v>28708.359</v>
      </c>
      <c r="N25" s="79">
        <f t="shared" si="4"/>
        <v>0</v>
      </c>
      <c r="O25" s="77">
        <f>SUM(C25:N25)</f>
        <v>342311.24199999997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83" t="s">
        <v>105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>
        <v>79.88</v>
      </c>
      <c r="M31" s="86">
        <v>1224.11</v>
      </c>
      <c r="N31" s="86"/>
      <c r="O31" s="82">
        <f>SUM(C31:N31)</f>
        <v>2403.6899999999996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>
        <v>0</v>
      </c>
      <c r="M32" s="86">
        <v>0</v>
      </c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>
        <v>0</v>
      </c>
      <c r="M34" s="81">
        <v>0</v>
      </c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>
        <v>5198.486</v>
      </c>
      <c r="M37" s="81">
        <v>0</v>
      </c>
      <c r="N37" s="81"/>
      <c r="O37" s="82">
        <f t="shared" si="5"/>
        <v>15812.132000000001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>+L37+L31+L35+L34+L32+L33</f>
        <v>5278.366</v>
      </c>
      <c r="M38" s="88">
        <f t="shared" si="6"/>
        <v>1224.11</v>
      </c>
      <c r="N38" s="88">
        <f t="shared" si="6"/>
        <v>0</v>
      </c>
      <c r="O38" s="82">
        <f t="shared" si="5"/>
        <v>80431.53199999999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83" t="s">
        <v>106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>
        <v>1446.1</v>
      </c>
      <c r="M44" s="81">
        <v>0</v>
      </c>
      <c r="N44" s="81"/>
      <c r="O44" s="82">
        <f aca="true" t="shared" si="7" ref="O44:O50">SUM(C44:N44)</f>
        <v>4174.977000000001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>
        <v>0</v>
      </c>
      <c r="M45" s="81">
        <v>141.35</v>
      </c>
      <c r="N45" s="81"/>
      <c r="O45" s="82">
        <f t="shared" si="7"/>
        <v>2662.4700000000003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>
        <v>622.85</v>
      </c>
      <c r="M46" s="84">
        <v>0</v>
      </c>
      <c r="N46" s="84"/>
      <c r="O46" s="82">
        <f t="shared" si="7"/>
        <v>7039.43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>
        <v>1470.02</v>
      </c>
      <c r="M49" s="122">
        <v>671.7</v>
      </c>
      <c r="N49" s="122"/>
      <c r="O49" s="82">
        <f t="shared" si="7"/>
        <v>27268.758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3538.97</v>
      </c>
      <c r="M50" s="121">
        <f t="shared" si="8"/>
        <v>813.0500000000001</v>
      </c>
      <c r="N50" s="121">
        <f t="shared" si="8"/>
        <v>0</v>
      </c>
      <c r="O50" s="82">
        <f t="shared" si="7"/>
        <v>41155.63500000001</v>
      </c>
    </row>
    <row r="51" ht="12">
      <c r="B51" s="63" t="s">
        <v>41</v>
      </c>
    </row>
    <row r="52" spans="2:15" ht="12">
      <c r="B52" s="283" t="s">
        <v>107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>
        <v>109</v>
      </c>
      <c r="M55" s="92">
        <v>49</v>
      </c>
      <c r="N55" s="92"/>
      <c r="O55" s="93">
        <f>SUM(C55:N55)</f>
        <v>5771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109</v>
      </c>
      <c r="M57" s="91">
        <f t="shared" si="9"/>
        <v>49</v>
      </c>
      <c r="N57" s="91">
        <f t="shared" si="9"/>
        <v>0</v>
      </c>
      <c r="O57" s="93">
        <f>SUM(C57:N57)</f>
        <v>5771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4">
      <selection activeCell="F21" sqref="F21:G21"/>
    </sheetView>
  </sheetViews>
  <sheetFormatPr defaultColWidth="11.421875" defaultRowHeight="12.75"/>
  <cols>
    <col min="1" max="1" width="28.8515625" style="139" bestFit="1" customWidth="1"/>
    <col min="2" max="2" width="8.00390625" style="139" customWidth="1"/>
    <col min="3" max="3" width="8.140625" style="139" customWidth="1"/>
    <col min="4" max="4" width="9.140625" style="139" customWidth="1"/>
    <col min="5" max="5" width="8.7109375" style="139" customWidth="1"/>
    <col min="6" max="6" width="10.421875" style="139" customWidth="1"/>
    <col min="7" max="7" width="9.28125" style="139" customWidth="1"/>
    <col min="8" max="8" width="9.00390625" style="139" hidden="1" customWidth="1"/>
    <col min="9" max="10" width="12.140625" style="139" bestFit="1" customWidth="1"/>
    <col min="11" max="16384" width="11.421875" style="139" customWidth="1"/>
  </cols>
  <sheetData>
    <row r="1" ht="12.75">
      <c r="E1" s="139" t="s">
        <v>115</v>
      </c>
    </row>
    <row r="2" ht="12.75">
      <c r="E2" s="139" t="s">
        <v>116</v>
      </c>
    </row>
    <row r="3" ht="3" customHeight="1">
      <c r="L3" s="139" t="s">
        <v>117</v>
      </c>
    </row>
    <row r="4" spans="1:11" ht="12.75">
      <c r="A4" s="140" t="s">
        <v>118</v>
      </c>
      <c r="B4" s="141" t="s">
        <v>119</v>
      </c>
      <c r="I4" s="142" t="s">
        <v>120</v>
      </c>
      <c r="J4" s="285" t="s">
        <v>117</v>
      </c>
      <c r="K4" s="285"/>
    </row>
    <row r="5" spans="9:11" ht="12.75">
      <c r="I5" s="142" t="s">
        <v>121</v>
      </c>
      <c r="J5" s="285">
        <v>2010</v>
      </c>
      <c r="K5" s="285"/>
    </row>
    <row r="6" ht="15.75" thickBot="1">
      <c r="E6" s="143" t="s">
        <v>122</v>
      </c>
    </row>
    <row r="7" spans="1:12" ht="13.5" thickBot="1">
      <c r="A7" s="286" t="s">
        <v>123</v>
      </c>
      <c r="B7" s="287" t="s">
        <v>5</v>
      </c>
      <c r="C7" s="287"/>
      <c r="D7" s="287"/>
      <c r="E7" s="287"/>
      <c r="F7" s="287"/>
      <c r="G7" s="287"/>
      <c r="I7" s="287" t="s">
        <v>124</v>
      </c>
      <c r="J7" s="287"/>
      <c r="K7" s="287"/>
      <c r="L7" s="142"/>
    </row>
    <row r="8" spans="1:11" ht="13.5" thickBot="1">
      <c r="A8" s="286"/>
      <c r="B8" s="288" t="s">
        <v>16</v>
      </c>
      <c r="C8" s="288"/>
      <c r="D8" s="288" t="s">
        <v>17</v>
      </c>
      <c r="E8" s="288"/>
      <c r="F8" s="288" t="s">
        <v>125</v>
      </c>
      <c r="G8" s="288"/>
      <c r="I8" s="146" t="s">
        <v>126</v>
      </c>
      <c r="J8" s="146" t="s">
        <v>127</v>
      </c>
      <c r="K8" s="146" t="s">
        <v>125</v>
      </c>
    </row>
    <row r="9" spans="1:11" ht="13.5" thickBot="1">
      <c r="A9" s="286"/>
      <c r="B9" s="288" t="s">
        <v>128</v>
      </c>
      <c r="C9" s="288"/>
      <c r="D9" s="288" t="s">
        <v>128</v>
      </c>
      <c r="E9" s="288"/>
      <c r="F9" s="288" t="s">
        <v>129</v>
      </c>
      <c r="G9" s="288"/>
      <c r="I9" s="146" t="s">
        <v>128</v>
      </c>
      <c r="J9" s="146" t="s">
        <v>128</v>
      </c>
      <c r="K9" s="146" t="s">
        <v>129</v>
      </c>
    </row>
    <row r="10" spans="1:11" ht="13.5" thickBot="1">
      <c r="A10" s="147" t="s">
        <v>130</v>
      </c>
      <c r="B10" s="289">
        <v>1224.11</v>
      </c>
      <c r="C10" s="290"/>
      <c r="D10" s="291"/>
      <c r="E10" s="291"/>
      <c r="F10" s="292">
        <v>2</v>
      </c>
      <c r="G10" s="292"/>
      <c r="H10" s="142"/>
      <c r="I10" s="148">
        <v>0</v>
      </c>
      <c r="J10" s="148">
        <v>141.35</v>
      </c>
      <c r="K10" s="145">
        <v>2</v>
      </c>
    </row>
    <row r="11" spans="1:11" ht="13.5" thickBot="1">
      <c r="A11" s="149" t="s">
        <v>131</v>
      </c>
      <c r="B11" s="289"/>
      <c r="C11" s="290"/>
      <c r="D11" s="289"/>
      <c r="E11" s="290"/>
      <c r="F11" s="293"/>
      <c r="G11" s="294"/>
      <c r="H11" s="142"/>
      <c r="I11" s="148">
        <v>7625</v>
      </c>
      <c r="J11" s="148">
        <v>155818</v>
      </c>
      <c r="K11" s="150">
        <v>394</v>
      </c>
    </row>
    <row r="12" spans="1:11" ht="13.5" thickBot="1">
      <c r="A12" s="147" t="s">
        <v>132</v>
      </c>
      <c r="B12" s="289"/>
      <c r="C12" s="290"/>
      <c r="D12" s="291"/>
      <c r="E12" s="291"/>
      <c r="F12" s="292"/>
      <c r="G12" s="292"/>
      <c r="I12" s="148"/>
      <c r="J12" s="148"/>
      <c r="K12" s="145"/>
    </row>
    <row r="13" spans="1:11" ht="13.5" thickBot="1">
      <c r="A13" s="147" t="s">
        <v>133</v>
      </c>
      <c r="B13" s="289"/>
      <c r="C13" s="290"/>
      <c r="D13" s="295"/>
      <c r="E13" s="296"/>
      <c r="F13" s="293"/>
      <c r="G13" s="294"/>
      <c r="I13" s="148"/>
      <c r="J13" s="148"/>
      <c r="K13" s="145"/>
    </row>
    <row r="14" spans="1:11" ht="13.5" thickBot="1">
      <c r="A14" s="147" t="s">
        <v>134</v>
      </c>
      <c r="B14" s="297"/>
      <c r="C14" s="297"/>
      <c r="D14" s="298"/>
      <c r="E14" s="299"/>
      <c r="F14" s="292"/>
      <c r="G14" s="292"/>
      <c r="I14" s="148"/>
      <c r="J14" s="148"/>
      <c r="K14" s="145"/>
    </row>
    <row r="15" spans="1:11" ht="13.5" thickBot="1">
      <c r="A15" s="149" t="s">
        <v>135</v>
      </c>
      <c r="B15" s="297"/>
      <c r="C15" s="297"/>
      <c r="D15" s="300"/>
      <c r="E15" s="300"/>
      <c r="F15" s="292"/>
      <c r="G15" s="292"/>
      <c r="H15" s="142"/>
      <c r="I15" s="148"/>
      <c r="J15" s="148"/>
      <c r="K15" s="145"/>
    </row>
    <row r="16" spans="1:11" ht="13.5" thickBot="1">
      <c r="A16" s="149" t="s">
        <v>136</v>
      </c>
      <c r="B16" s="297"/>
      <c r="C16" s="297"/>
      <c r="D16" s="300"/>
      <c r="E16" s="300"/>
      <c r="F16" s="292"/>
      <c r="G16" s="292"/>
      <c r="H16" s="142"/>
      <c r="I16" s="148"/>
      <c r="J16" s="148"/>
      <c r="K16" s="145"/>
    </row>
    <row r="17" spans="1:11" ht="15" customHeight="1" thickBot="1">
      <c r="A17" s="151" t="s">
        <v>137</v>
      </c>
      <c r="B17" s="289"/>
      <c r="C17" s="290"/>
      <c r="D17" s="300"/>
      <c r="E17" s="300"/>
      <c r="F17" s="293"/>
      <c r="G17" s="294"/>
      <c r="H17" s="142"/>
      <c r="I17" s="148"/>
      <c r="J17" s="152">
        <v>671.7</v>
      </c>
      <c r="K17" s="145">
        <v>3</v>
      </c>
    </row>
    <row r="18" spans="1:11" ht="16.5" thickBot="1">
      <c r="A18" s="149" t="s">
        <v>138</v>
      </c>
      <c r="B18" s="300"/>
      <c r="C18" s="300"/>
      <c r="D18" s="300"/>
      <c r="E18" s="300"/>
      <c r="F18" s="293"/>
      <c r="G18" s="294"/>
      <c r="H18" s="153"/>
      <c r="I18" s="148">
        <v>28708.36</v>
      </c>
      <c r="J18" s="152"/>
      <c r="K18" s="145">
        <v>6</v>
      </c>
    </row>
    <row r="19" spans="1:11" ht="13.5" thickBot="1">
      <c r="A19" s="154" t="s">
        <v>139</v>
      </c>
      <c r="B19" s="291">
        <f>SUM(B10:C18)</f>
        <v>1224.11</v>
      </c>
      <c r="C19" s="291"/>
      <c r="D19" s="291">
        <f>SUM(D10:E18)</f>
        <v>0</v>
      </c>
      <c r="E19" s="291"/>
      <c r="F19" s="297">
        <f>SUM(F10:G18)</f>
        <v>2</v>
      </c>
      <c r="G19" s="297"/>
      <c r="I19" s="148">
        <f>SUM(I10:I18)</f>
        <v>36333.36</v>
      </c>
      <c r="J19" s="148">
        <f>SUM(J10:J18)</f>
        <v>156631.05000000002</v>
      </c>
      <c r="K19" s="150">
        <f>SUM(K10:K18)</f>
        <v>405</v>
      </c>
    </row>
    <row r="20" spans="1:11" ht="13.5" thickBot="1">
      <c r="A20" s="155"/>
      <c r="B20" s="156"/>
      <c r="C20" s="156"/>
      <c r="D20" s="300"/>
      <c r="E20" s="300"/>
      <c r="F20" s="157"/>
      <c r="G20" s="157"/>
      <c r="I20" s="158"/>
      <c r="J20" s="158"/>
      <c r="K20" s="159"/>
    </row>
    <row r="21" spans="1:11" ht="13.5" thickBot="1">
      <c r="A21" s="160" t="s">
        <v>140</v>
      </c>
      <c r="B21" s="301"/>
      <c r="C21" s="301"/>
      <c r="D21" s="291">
        <v>1326090.79</v>
      </c>
      <c r="E21" s="291"/>
      <c r="F21" s="302">
        <v>16</v>
      </c>
      <c r="G21" s="302"/>
      <c r="I21" s="161"/>
      <c r="J21" s="162"/>
      <c r="K21" s="163"/>
    </row>
    <row r="22" spans="1:11" ht="13.5" thickBot="1">
      <c r="A22" s="164" t="s">
        <v>28</v>
      </c>
      <c r="B22" s="303">
        <f>B19+B21</f>
        <v>1224.11</v>
      </c>
      <c r="C22" s="303"/>
      <c r="D22" s="303">
        <f>SUM(D21+D19)</f>
        <v>1326090.79</v>
      </c>
      <c r="E22" s="303"/>
      <c r="F22" s="304">
        <f>SUM(F21+F19)</f>
        <v>18</v>
      </c>
      <c r="G22" s="304"/>
      <c r="I22" s="166">
        <f>I19</f>
        <v>36333.36</v>
      </c>
      <c r="J22" s="165">
        <f>J19</f>
        <v>156631.05000000002</v>
      </c>
      <c r="K22" s="167">
        <f>K19+K21</f>
        <v>405</v>
      </c>
    </row>
    <row r="23" spans="1:11" ht="5.25" customHeight="1">
      <c r="A23" s="168"/>
      <c r="B23" s="169"/>
      <c r="C23" s="169"/>
      <c r="D23" s="170"/>
      <c r="E23" s="170"/>
      <c r="F23" s="171"/>
      <c r="G23" s="172"/>
      <c r="I23" s="305"/>
      <c r="J23" s="305"/>
      <c r="K23" s="173"/>
    </row>
    <row r="24" ht="13.5" thickBot="1">
      <c r="A24" s="141"/>
    </row>
    <row r="25" spans="1:11" ht="13.5" thickBot="1">
      <c r="A25" s="288"/>
      <c r="B25" s="286" t="s">
        <v>141</v>
      </c>
      <c r="C25" s="286"/>
      <c r="D25" s="286" t="s">
        <v>142</v>
      </c>
      <c r="E25" s="286"/>
      <c r="F25" s="286" t="s">
        <v>129</v>
      </c>
      <c r="G25" s="286"/>
      <c r="H25" s="174"/>
      <c r="J25" s="288" t="s">
        <v>143</v>
      </c>
      <c r="K25" s="288"/>
    </row>
    <row r="26" spans="1:11" ht="26.25" thickBot="1">
      <c r="A26" s="288"/>
      <c r="B26" s="286"/>
      <c r="C26" s="286"/>
      <c r="D26" s="286"/>
      <c r="E26" s="286"/>
      <c r="F26" s="144" t="s">
        <v>144</v>
      </c>
      <c r="G26" s="144" t="s">
        <v>145</v>
      </c>
      <c r="J26" s="147" t="s">
        <v>146</v>
      </c>
      <c r="K26" s="147" t="s">
        <v>147</v>
      </c>
    </row>
    <row r="27" spans="1:11" ht="13.5" thickBot="1">
      <c r="A27" s="147" t="s">
        <v>148</v>
      </c>
      <c r="B27" s="175">
        <v>26</v>
      </c>
      <c r="C27" s="175">
        <v>23</v>
      </c>
      <c r="D27" s="144"/>
      <c r="E27" s="144"/>
      <c r="F27" s="144"/>
      <c r="G27" s="144"/>
      <c r="H27" s="155"/>
      <c r="J27" s="176"/>
      <c r="K27" s="176"/>
    </row>
    <row r="28" spans="1:11" ht="13.5" thickBot="1">
      <c r="A28" s="147" t="s">
        <v>149</v>
      </c>
      <c r="B28" s="147" t="s">
        <v>126</v>
      </c>
      <c r="C28" s="146" t="s">
        <v>127</v>
      </c>
      <c r="D28" s="147" t="s">
        <v>126</v>
      </c>
      <c r="E28" s="147" t="s">
        <v>127</v>
      </c>
      <c r="F28" s="146" t="s">
        <v>126</v>
      </c>
      <c r="G28" s="147" t="s">
        <v>127</v>
      </c>
      <c r="H28" s="155"/>
      <c r="J28" s="155"/>
      <c r="K28" s="155"/>
    </row>
    <row r="29" spans="2:11" ht="13.5" thickBot="1">
      <c r="B29" s="306" t="s">
        <v>141</v>
      </c>
      <c r="C29" s="307"/>
      <c r="D29" s="307"/>
      <c r="E29" s="308"/>
      <c r="F29" s="147"/>
      <c r="G29" s="147"/>
      <c r="H29" s="155"/>
      <c r="J29" s="155"/>
      <c r="K29" s="155"/>
    </row>
    <row r="30" spans="1:11" ht="13.5" thickBot="1">
      <c r="A30" s="309" t="s">
        <v>150</v>
      </c>
      <c r="B30" s="147" t="s">
        <v>151</v>
      </c>
      <c r="C30" s="306" t="s">
        <v>77</v>
      </c>
      <c r="D30" s="308"/>
      <c r="E30" s="306" t="s">
        <v>78</v>
      </c>
      <c r="F30" s="308"/>
      <c r="G30" s="147" t="s">
        <v>28</v>
      </c>
      <c r="H30" s="155"/>
      <c r="J30" s="155"/>
      <c r="K30" s="155"/>
    </row>
    <row r="31" spans="1:11" ht="13.5" thickBot="1">
      <c r="A31" s="310"/>
      <c r="B31" s="146"/>
      <c r="C31" s="306">
        <v>0</v>
      </c>
      <c r="D31" s="308"/>
      <c r="E31" s="306">
        <v>0</v>
      </c>
      <c r="F31" s="308"/>
      <c r="G31" s="145">
        <f>B31+C31+E31</f>
        <v>0</v>
      </c>
      <c r="H31" s="155"/>
      <c r="J31" s="155"/>
      <c r="K31" s="155"/>
    </row>
    <row r="32" s="141" customFormat="1" ht="12.75">
      <c r="A32" s="141" t="s">
        <v>152</v>
      </c>
    </row>
    <row r="33" s="141" customFormat="1" ht="12.75">
      <c r="A33" s="141" t="s">
        <v>153</v>
      </c>
    </row>
    <row r="34" ht="12.75">
      <c r="A34" s="141" t="s">
        <v>23</v>
      </c>
    </row>
    <row r="35" ht="13.5" thickBot="1"/>
    <row r="36" spans="1:7" ht="13.5" thickBot="1">
      <c r="A36" s="314" t="s">
        <v>154</v>
      </c>
      <c r="B36" s="314"/>
      <c r="C36" s="314"/>
      <c r="D36" s="314"/>
      <c r="E36" s="314"/>
      <c r="F36" s="288"/>
      <c r="G36" s="288"/>
    </row>
    <row r="37" spans="1:9" ht="13.5" thickBot="1">
      <c r="A37" s="314" t="s">
        <v>155</v>
      </c>
      <c r="B37" s="314"/>
      <c r="C37" s="314"/>
      <c r="D37" s="314"/>
      <c r="E37" s="314"/>
      <c r="F37" s="288"/>
      <c r="G37" s="288"/>
      <c r="H37" s="139" t="s">
        <v>156</v>
      </c>
      <c r="I37" s="178" t="s">
        <v>157</v>
      </c>
    </row>
    <row r="38" spans="1:9" ht="13.5" thickBot="1">
      <c r="A38" s="177" t="s">
        <v>158</v>
      </c>
      <c r="B38" s="177"/>
      <c r="C38" s="177"/>
      <c r="D38" s="177"/>
      <c r="E38" s="177"/>
      <c r="F38" s="146"/>
      <c r="G38" s="146"/>
      <c r="I38" s="179"/>
    </row>
    <row r="39" spans="1:9" ht="13.5" thickBot="1">
      <c r="A39" s="314" t="s">
        <v>159</v>
      </c>
      <c r="B39" s="314"/>
      <c r="C39" s="314"/>
      <c r="D39" s="314"/>
      <c r="E39" s="314"/>
      <c r="F39" s="288"/>
      <c r="G39" s="288"/>
      <c r="I39" s="179"/>
    </row>
    <row r="40" spans="1:9" ht="13.5" thickBot="1">
      <c r="A40" s="311" t="s">
        <v>160</v>
      </c>
      <c r="B40" s="312"/>
      <c r="C40" s="312"/>
      <c r="D40" s="312"/>
      <c r="E40" s="313"/>
      <c r="F40" s="288"/>
      <c r="G40" s="288"/>
      <c r="H40" s="139" t="s">
        <v>161</v>
      </c>
      <c r="I40" s="178" t="s">
        <v>162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4">
      <selection activeCell="I18" sqref="I18"/>
    </sheetView>
  </sheetViews>
  <sheetFormatPr defaultColWidth="11.421875" defaultRowHeight="12.75"/>
  <cols>
    <col min="1" max="1" width="7.28125" style="139" customWidth="1"/>
    <col min="2" max="2" width="8.421875" style="139" customWidth="1"/>
    <col min="3" max="4" width="11.421875" style="139" customWidth="1"/>
    <col min="5" max="5" width="9.8515625" style="139" customWidth="1"/>
    <col min="6" max="6" width="9.28125" style="139" customWidth="1"/>
    <col min="7" max="7" width="6.140625" style="139" customWidth="1"/>
    <col min="8" max="9" width="11.421875" style="139" customWidth="1"/>
    <col min="10" max="10" width="7.421875" style="139" customWidth="1"/>
    <col min="11" max="11" width="6.8515625" style="139" customWidth="1"/>
    <col min="12" max="13" width="6.421875" style="139" customWidth="1"/>
    <col min="14" max="16384" width="11.421875" style="139" customWidth="1"/>
  </cols>
  <sheetData>
    <row r="1" spans="4:12" ht="12.75">
      <c r="D1" s="139" t="s">
        <v>115</v>
      </c>
      <c r="L1" s="139" t="s">
        <v>163</v>
      </c>
    </row>
    <row r="2" ht="12.75">
      <c r="D2" s="139" t="s">
        <v>164</v>
      </c>
    </row>
    <row r="3" spans="10:13" ht="12.75">
      <c r="J3" s="140" t="s">
        <v>121</v>
      </c>
      <c r="K3" s="285">
        <v>2010</v>
      </c>
      <c r="L3" s="285"/>
      <c r="M3" s="285"/>
    </row>
    <row r="4" spans="2:10" ht="12.75">
      <c r="B4" s="139" t="s">
        <v>165</v>
      </c>
      <c r="C4" s="141" t="s">
        <v>166</v>
      </c>
      <c r="G4" s="141" t="s">
        <v>167</v>
      </c>
      <c r="J4" s="139" t="s">
        <v>117</v>
      </c>
    </row>
    <row r="5" spans="2:13" ht="13.5" thickBot="1">
      <c r="B5" s="180"/>
      <c r="C5" s="181" t="s">
        <v>16</v>
      </c>
      <c r="D5" s="182"/>
      <c r="E5" s="182"/>
      <c r="F5" s="182"/>
      <c r="G5" s="182"/>
      <c r="H5" s="181" t="s">
        <v>17</v>
      </c>
      <c r="I5" s="182"/>
      <c r="J5" s="182"/>
      <c r="K5" s="182"/>
      <c r="L5" s="182"/>
      <c r="M5" s="183"/>
    </row>
    <row r="6" spans="2:15" ht="13.5" thickBot="1">
      <c r="B6" s="184"/>
      <c r="C6" s="288" t="s">
        <v>168</v>
      </c>
      <c r="D6" s="288"/>
      <c r="E6" s="288"/>
      <c r="F6" s="315" t="s">
        <v>169</v>
      </c>
      <c r="G6" s="315" t="s">
        <v>170</v>
      </c>
      <c r="H6" s="288" t="s">
        <v>168</v>
      </c>
      <c r="I6" s="288"/>
      <c r="J6" s="288"/>
      <c r="K6" s="315" t="s">
        <v>169</v>
      </c>
      <c r="L6" s="315" t="s">
        <v>170</v>
      </c>
      <c r="M6" s="186"/>
      <c r="N6" s="187"/>
      <c r="O6" s="187"/>
    </row>
    <row r="7" spans="2:15" ht="13.5" thickBot="1">
      <c r="B7" s="184"/>
      <c r="C7" s="147" t="s">
        <v>171</v>
      </c>
      <c r="D7" s="147" t="s">
        <v>172</v>
      </c>
      <c r="E7" s="188" t="s">
        <v>173</v>
      </c>
      <c r="F7" s="309"/>
      <c r="G7" s="315"/>
      <c r="H7" s="147" t="s">
        <v>171</v>
      </c>
      <c r="I7" s="147" t="s">
        <v>172</v>
      </c>
      <c r="J7" s="188" t="s">
        <v>173</v>
      </c>
      <c r="K7" s="309"/>
      <c r="L7" s="315"/>
      <c r="M7" s="186"/>
      <c r="N7" s="187"/>
      <c r="O7" s="187"/>
    </row>
    <row r="8" spans="2:15" ht="13.5" thickBot="1">
      <c r="B8" s="184" t="s">
        <v>174</v>
      </c>
      <c r="C8" s="145"/>
      <c r="D8" s="189"/>
      <c r="E8" s="145"/>
      <c r="F8" s="317"/>
      <c r="G8" s="190"/>
      <c r="H8" s="145"/>
      <c r="I8" s="189"/>
      <c r="J8" s="145"/>
      <c r="K8" s="191"/>
      <c r="L8" s="192"/>
      <c r="M8" s="193"/>
      <c r="N8" s="155"/>
      <c r="O8" s="155"/>
    </row>
    <row r="9" spans="2:15" ht="13.5" thickBot="1">
      <c r="B9" s="184" t="s">
        <v>175</v>
      </c>
      <c r="C9" s="145"/>
      <c r="D9" s="147"/>
      <c r="E9" s="194"/>
      <c r="F9" s="318"/>
      <c r="G9" s="147"/>
      <c r="H9" s="145"/>
      <c r="I9" s="147"/>
      <c r="J9" s="195"/>
      <c r="K9" s="196"/>
      <c r="L9" s="197"/>
      <c r="M9" s="193"/>
      <c r="N9" s="155"/>
      <c r="O9" s="155"/>
    </row>
    <row r="10" spans="2:15" ht="12.75">
      <c r="B10" s="184"/>
      <c r="C10" s="198"/>
      <c r="D10" s="155"/>
      <c r="E10" s="198"/>
      <c r="F10" s="199"/>
      <c r="G10" s="155"/>
      <c r="H10" s="198"/>
      <c r="I10" s="155"/>
      <c r="J10" s="198"/>
      <c r="K10" s="198"/>
      <c r="L10" s="155"/>
      <c r="M10" s="193"/>
      <c r="N10" s="155"/>
      <c r="O10" s="155"/>
    </row>
    <row r="11" spans="2:13" ht="12.75">
      <c r="B11" s="184"/>
      <c r="D11" s="141"/>
      <c r="E11" s="141"/>
      <c r="F11" s="141"/>
      <c r="G11" s="141" t="s">
        <v>176</v>
      </c>
      <c r="H11" s="141"/>
      <c r="I11" s="141"/>
      <c r="J11" s="141"/>
      <c r="K11" s="141"/>
      <c r="L11" s="141"/>
      <c r="M11" s="193"/>
    </row>
    <row r="12" spans="2:13" ht="13.5" thickBot="1">
      <c r="B12" s="184"/>
      <c r="C12" s="155" t="s">
        <v>177</v>
      </c>
      <c r="D12" s="155"/>
      <c r="E12" s="155"/>
      <c r="F12" s="155"/>
      <c r="G12" s="155"/>
      <c r="H12" s="155" t="s">
        <v>178</v>
      </c>
      <c r="I12" s="155"/>
      <c r="J12" s="155"/>
      <c r="K12" s="155"/>
      <c r="L12" s="155"/>
      <c r="M12" s="193"/>
    </row>
    <row r="13" spans="2:15" ht="13.5" thickBot="1">
      <c r="B13" s="184"/>
      <c r="C13" s="288" t="s">
        <v>168</v>
      </c>
      <c r="D13" s="288"/>
      <c r="E13" s="288"/>
      <c r="F13" s="315" t="s">
        <v>142</v>
      </c>
      <c r="G13" s="315" t="s">
        <v>170</v>
      </c>
      <c r="H13" s="288" t="s">
        <v>168</v>
      </c>
      <c r="I13" s="288"/>
      <c r="J13" s="288"/>
      <c r="K13" s="315" t="s">
        <v>142</v>
      </c>
      <c r="L13" s="315" t="s">
        <v>170</v>
      </c>
      <c r="M13" s="186"/>
      <c r="N13" s="187"/>
      <c r="O13" s="187"/>
    </row>
    <row r="14" spans="2:15" ht="13.5" thickBot="1">
      <c r="B14" s="184"/>
      <c r="C14" s="147" t="s">
        <v>171</v>
      </c>
      <c r="D14" s="147" t="s">
        <v>172</v>
      </c>
      <c r="E14" s="147" t="s">
        <v>173</v>
      </c>
      <c r="F14" s="315"/>
      <c r="G14" s="315"/>
      <c r="H14" s="147" t="s">
        <v>171</v>
      </c>
      <c r="I14" s="147" t="s">
        <v>172</v>
      </c>
      <c r="J14" s="147" t="s">
        <v>173</v>
      </c>
      <c r="K14" s="315"/>
      <c r="L14" s="315"/>
      <c r="M14" s="186"/>
      <c r="N14" s="187"/>
      <c r="O14" s="187"/>
    </row>
    <row r="15" spans="2:15" ht="13.5" thickBot="1">
      <c r="B15" s="184" t="s">
        <v>179</v>
      </c>
      <c r="C15" s="147"/>
      <c r="D15" s="147"/>
      <c r="E15" s="147"/>
      <c r="F15" s="200"/>
      <c r="G15" s="185"/>
      <c r="H15" s="147"/>
      <c r="I15" s="147"/>
      <c r="J15" s="154"/>
      <c r="K15" s="201"/>
      <c r="L15" s="185"/>
      <c r="M15" s="186"/>
      <c r="N15" s="187"/>
      <c r="O15" s="187"/>
    </row>
    <row r="16" spans="2:15" ht="13.5" thickBot="1">
      <c r="B16" s="184" t="s">
        <v>174</v>
      </c>
      <c r="C16" s="147"/>
      <c r="D16" s="147"/>
      <c r="E16" s="154"/>
      <c r="F16" s="154"/>
      <c r="G16" s="147"/>
      <c r="H16" s="147"/>
      <c r="I16" s="147"/>
      <c r="J16" s="154"/>
      <c r="K16" s="154"/>
      <c r="L16" s="147"/>
      <c r="M16" s="193"/>
      <c r="N16" s="155"/>
      <c r="O16" s="155"/>
    </row>
    <row r="17" spans="2:15" ht="13.5" thickBot="1">
      <c r="B17" s="184"/>
      <c r="C17" s="147"/>
      <c r="D17" s="147"/>
      <c r="E17" s="145"/>
      <c r="F17" s="147"/>
      <c r="G17" s="147"/>
      <c r="H17" s="147"/>
      <c r="I17" s="147"/>
      <c r="J17" s="147"/>
      <c r="K17" s="147"/>
      <c r="L17" s="147"/>
      <c r="M17" s="193"/>
      <c r="N17" s="155"/>
      <c r="O17" s="155"/>
    </row>
    <row r="18" spans="2:13" ht="9" customHeight="1">
      <c r="B18" s="18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93"/>
    </row>
    <row r="19" spans="2:13" ht="13.5" thickBot="1">
      <c r="B19" s="184"/>
      <c r="C19" s="155"/>
      <c r="D19" s="155"/>
      <c r="E19" s="319" t="s">
        <v>180</v>
      </c>
      <c r="F19" s="319"/>
      <c r="G19" s="319"/>
      <c r="H19" s="319"/>
      <c r="I19" s="319"/>
      <c r="J19" s="319"/>
      <c r="K19" s="155"/>
      <c r="L19" s="155"/>
      <c r="M19" s="193"/>
    </row>
    <row r="20" spans="2:13" ht="13.5" thickBot="1">
      <c r="B20" s="184"/>
      <c r="C20" s="155"/>
      <c r="D20" s="155"/>
      <c r="E20" s="288" t="s">
        <v>168</v>
      </c>
      <c r="F20" s="288"/>
      <c r="G20" s="288"/>
      <c r="H20" s="288" t="s">
        <v>168</v>
      </c>
      <c r="I20" s="288"/>
      <c r="J20" s="288"/>
      <c r="K20" s="155"/>
      <c r="L20" s="155"/>
      <c r="M20" s="193"/>
    </row>
    <row r="21" spans="2:13" ht="13.5" thickBot="1">
      <c r="B21" s="184"/>
      <c r="C21" s="155"/>
      <c r="E21" s="147"/>
      <c r="F21" s="147"/>
      <c r="G21" s="147"/>
      <c r="H21" s="147" t="s">
        <v>181</v>
      </c>
      <c r="I21" s="147" t="s">
        <v>172</v>
      </c>
      <c r="J21" s="147" t="s">
        <v>173</v>
      </c>
      <c r="K21" s="155"/>
      <c r="L21" s="155"/>
      <c r="M21" s="193"/>
    </row>
    <row r="22" spans="2:13" ht="13.5" thickBot="1">
      <c r="B22" s="184"/>
      <c r="C22" s="155"/>
      <c r="D22" s="155" t="s">
        <v>174</v>
      </c>
      <c r="E22" s="147"/>
      <c r="F22" s="147"/>
      <c r="G22" s="147"/>
      <c r="H22" s="147"/>
      <c r="I22" s="147"/>
      <c r="J22" s="147"/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7"/>
      <c r="F23" s="147"/>
      <c r="G23" s="147"/>
      <c r="H23" s="147"/>
      <c r="I23" s="147"/>
      <c r="J23" s="147"/>
      <c r="K23" s="155"/>
      <c r="L23" s="155"/>
      <c r="M23" s="193"/>
    </row>
    <row r="24" spans="2:13" ht="9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4"/>
    </row>
    <row r="25" spans="2:13" ht="12.75">
      <c r="B25" s="155"/>
      <c r="C25" s="155"/>
      <c r="D25" s="155"/>
      <c r="E25" s="155"/>
      <c r="F25" s="155"/>
      <c r="G25" s="168" t="s">
        <v>182</v>
      </c>
      <c r="H25" s="155"/>
      <c r="I25" s="155"/>
      <c r="J25" s="155"/>
      <c r="K25" s="155"/>
      <c r="L25" s="155"/>
      <c r="M25" s="155"/>
    </row>
    <row r="26" spans="2:13" ht="13.5" thickBot="1">
      <c r="B26" s="180"/>
      <c r="C26" s="182"/>
      <c r="D26" s="181" t="s">
        <v>16</v>
      </c>
      <c r="E26" s="182"/>
      <c r="F26" s="182"/>
      <c r="G26" s="182"/>
      <c r="H26" s="181" t="s">
        <v>17</v>
      </c>
      <c r="I26" s="182"/>
      <c r="J26" s="182"/>
      <c r="K26" s="182"/>
      <c r="L26" s="182"/>
      <c r="M26" s="183"/>
    </row>
    <row r="27" spans="2:13" ht="13.5" thickBot="1">
      <c r="B27" s="184"/>
      <c r="C27" s="155"/>
      <c r="D27" s="288" t="s">
        <v>168</v>
      </c>
      <c r="E27" s="288"/>
      <c r="F27" s="288"/>
      <c r="G27" s="288" t="s">
        <v>170</v>
      </c>
      <c r="H27" s="288" t="s">
        <v>168</v>
      </c>
      <c r="I27" s="288"/>
      <c r="J27" s="288"/>
      <c r="K27" s="288" t="s">
        <v>170</v>
      </c>
      <c r="L27" s="155"/>
      <c r="M27" s="193"/>
    </row>
    <row r="28" spans="2:13" ht="13.5" thickBot="1">
      <c r="B28" s="184"/>
      <c r="C28" s="155"/>
      <c r="D28" s="147" t="s">
        <v>171</v>
      </c>
      <c r="E28" s="147" t="s">
        <v>172</v>
      </c>
      <c r="F28" s="188" t="s">
        <v>173</v>
      </c>
      <c r="G28" s="316"/>
      <c r="H28" s="147" t="s">
        <v>171</v>
      </c>
      <c r="I28" s="147" t="s">
        <v>172</v>
      </c>
      <c r="J28" s="188" t="s">
        <v>173</v>
      </c>
      <c r="K28" s="316"/>
      <c r="L28" s="155"/>
      <c r="M28" s="193"/>
    </row>
    <row r="29" spans="2:13" ht="13.5" thickBot="1">
      <c r="B29" s="184"/>
      <c r="C29" s="155" t="s">
        <v>183</v>
      </c>
      <c r="D29" s="145"/>
      <c r="E29" s="189"/>
      <c r="F29" s="145"/>
      <c r="G29" s="150"/>
      <c r="H29" s="197"/>
      <c r="I29" s="189"/>
      <c r="J29" s="205"/>
      <c r="K29" s="206"/>
      <c r="L29" s="155"/>
      <c r="M29" s="193"/>
    </row>
    <row r="30" spans="2:13" ht="13.5" thickBot="1">
      <c r="B30" s="184"/>
      <c r="C30" s="155" t="s">
        <v>184</v>
      </c>
      <c r="D30" s="145"/>
      <c r="E30" s="145"/>
      <c r="F30" s="194"/>
      <c r="G30" s="207"/>
      <c r="H30" s="208"/>
      <c r="I30" s="147"/>
      <c r="J30" s="195"/>
      <c r="K30" s="194"/>
      <c r="L30" s="155"/>
      <c r="M30" s="193"/>
    </row>
    <row r="31" spans="2:13" ht="12.75">
      <c r="B31" s="18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93"/>
    </row>
    <row r="32" spans="2:13" ht="13.5" thickBot="1">
      <c r="B32" s="184"/>
      <c r="C32" s="155"/>
      <c r="D32" s="155" t="s">
        <v>177</v>
      </c>
      <c r="E32" s="155"/>
      <c r="F32" s="155"/>
      <c r="G32" s="155"/>
      <c r="H32" s="155" t="s">
        <v>127</v>
      </c>
      <c r="I32" s="155"/>
      <c r="J32" s="155"/>
      <c r="K32" s="155"/>
      <c r="L32" s="155"/>
      <c r="M32" s="193"/>
    </row>
    <row r="33" spans="2:13" ht="13.5" thickBot="1">
      <c r="B33" s="184"/>
      <c r="C33" s="155"/>
      <c r="D33" s="288" t="s">
        <v>168</v>
      </c>
      <c r="E33" s="288"/>
      <c r="F33" s="288"/>
      <c r="G33" s="288" t="s">
        <v>170</v>
      </c>
      <c r="H33" s="288" t="s">
        <v>168</v>
      </c>
      <c r="I33" s="288"/>
      <c r="J33" s="288"/>
      <c r="K33" s="288" t="s">
        <v>170</v>
      </c>
      <c r="L33" s="155"/>
      <c r="M33" s="193"/>
    </row>
    <row r="34" spans="2:13" ht="13.5" thickBot="1">
      <c r="B34" s="184"/>
      <c r="C34" s="155"/>
      <c r="D34" s="147" t="s">
        <v>171</v>
      </c>
      <c r="E34" s="147" t="s">
        <v>172</v>
      </c>
      <c r="F34" s="147" t="s">
        <v>173</v>
      </c>
      <c r="G34" s="288"/>
      <c r="H34" s="147" t="s">
        <v>171</v>
      </c>
      <c r="I34" s="147" t="s">
        <v>172</v>
      </c>
      <c r="J34" s="147" t="s">
        <v>173</v>
      </c>
      <c r="K34" s="288"/>
      <c r="L34" s="155"/>
      <c r="M34" s="193"/>
    </row>
    <row r="35" spans="2:13" ht="13.5" thickBot="1">
      <c r="B35" s="184"/>
      <c r="C35" s="155" t="s">
        <v>183</v>
      </c>
      <c r="D35" s="147"/>
      <c r="E35" s="147"/>
      <c r="F35" s="147"/>
      <c r="G35" s="147"/>
      <c r="H35" s="147"/>
      <c r="I35" s="147"/>
      <c r="J35" s="147"/>
      <c r="K35" s="147"/>
      <c r="L35" s="155"/>
      <c r="M35" s="193"/>
    </row>
    <row r="36" spans="2:13" ht="13.5" thickBot="1">
      <c r="B36" s="184"/>
      <c r="C36" s="155" t="s">
        <v>184</v>
      </c>
      <c r="D36" s="147"/>
      <c r="E36" s="147"/>
      <c r="F36" s="147"/>
      <c r="G36" s="147"/>
      <c r="H36" s="147"/>
      <c r="I36" s="147"/>
      <c r="J36" s="147"/>
      <c r="K36" s="147"/>
      <c r="L36" s="155"/>
      <c r="M36" s="193"/>
    </row>
    <row r="37" spans="2:13" ht="9.75" customHeight="1">
      <c r="B37" s="202"/>
      <c r="C37" s="203"/>
      <c r="D37" s="203"/>
      <c r="E37" s="203"/>
      <c r="F37" s="203"/>
      <c r="G37" s="203"/>
      <c r="H37" s="203"/>
      <c r="I37" s="203" t="s">
        <v>157</v>
      </c>
      <c r="J37" s="203"/>
      <c r="K37" s="203"/>
      <c r="L37" s="203"/>
      <c r="M37" s="204"/>
    </row>
    <row r="38" ht="12.75">
      <c r="G38" s="139" t="s">
        <v>185</v>
      </c>
    </row>
    <row r="39" ht="12.75">
      <c r="G39" s="139" t="s">
        <v>186</v>
      </c>
    </row>
    <row r="40" spans="2:13" ht="12.75">
      <c r="B40" s="180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</row>
    <row r="41" spans="2:13" ht="12.75">
      <c r="B41" s="180" t="s">
        <v>187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209"/>
      <c r="C42" s="155"/>
      <c r="D42" s="210" t="s">
        <v>188</v>
      </c>
      <c r="E42" s="155"/>
      <c r="F42" s="155"/>
      <c r="G42" s="155"/>
      <c r="H42" s="155"/>
      <c r="I42" s="155"/>
      <c r="J42" s="155"/>
      <c r="K42" s="155"/>
      <c r="L42" s="155"/>
      <c r="M42" s="193"/>
    </row>
    <row r="43" spans="2:13" ht="12.75">
      <c r="B43" s="202"/>
      <c r="C43" s="203"/>
      <c r="D43" s="211"/>
      <c r="E43" s="203"/>
      <c r="F43" s="203"/>
      <c r="G43" s="203"/>
      <c r="H43" s="203"/>
      <c r="I43" s="203"/>
      <c r="J43" s="203"/>
      <c r="K43" s="203"/>
      <c r="L43" s="203"/>
      <c r="M43" s="204"/>
    </row>
  </sheetData>
  <sheetProtection/>
  <mergeCells count="25">
    <mergeCell ref="D33:F33"/>
    <mergeCell ref="G33:G34"/>
    <mergeCell ref="H33:J33"/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F8:F9"/>
    <mergeCell ref="C13:E13"/>
    <mergeCell ref="F13:F14"/>
    <mergeCell ref="G13:G14"/>
    <mergeCell ref="H13:J13"/>
    <mergeCell ref="K13:K14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40" zoomScaleNormal="140" zoomScalePageLayoutView="0" workbookViewId="0" topLeftCell="A1">
      <selection activeCell="B23" sqref="B23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1" width="14.421875" style="0" bestFit="1" customWidth="1"/>
    <col min="12" max="12" width="23.8515625" style="0" bestFit="1" customWidth="1"/>
  </cols>
  <sheetData>
    <row r="1" spans="1:10" ht="12.75">
      <c r="A1" s="212"/>
      <c r="C1" s="320" t="s">
        <v>189</v>
      </c>
      <c r="D1" s="320"/>
      <c r="E1" s="320"/>
      <c r="F1" s="320"/>
      <c r="G1" s="320"/>
      <c r="H1" s="320"/>
      <c r="I1" s="320"/>
      <c r="J1" s="320"/>
    </row>
    <row r="2" spans="1:12" ht="12.75">
      <c r="A2" s="212"/>
      <c r="C2" s="320" t="s">
        <v>190</v>
      </c>
      <c r="D2" s="320"/>
      <c r="E2" s="320"/>
      <c r="F2" s="320"/>
      <c r="G2" s="320"/>
      <c r="H2" s="320"/>
      <c r="I2" s="320"/>
      <c r="J2" s="320"/>
      <c r="L2" s="214"/>
    </row>
    <row r="3" spans="1:12" ht="12.75">
      <c r="A3" s="212"/>
      <c r="C3" s="320" t="s">
        <v>191</v>
      </c>
      <c r="D3" s="320"/>
      <c r="E3" s="320"/>
      <c r="F3" s="320"/>
      <c r="G3" s="320"/>
      <c r="H3" s="320"/>
      <c r="I3" s="320"/>
      <c r="J3" s="320"/>
      <c r="K3" s="320"/>
      <c r="L3" t="s">
        <v>117</v>
      </c>
    </row>
    <row r="4" spans="1:11" ht="12.75">
      <c r="A4" s="212"/>
      <c r="C4" s="320" t="s">
        <v>192</v>
      </c>
      <c r="D4" s="320"/>
      <c r="E4" s="320"/>
      <c r="F4" s="320"/>
      <c r="G4" s="320"/>
      <c r="H4" s="320"/>
      <c r="I4" s="320"/>
      <c r="J4" s="320"/>
      <c r="K4" s="320"/>
    </row>
    <row r="5" spans="1:11" ht="13.5" thickBot="1">
      <c r="A5" s="212"/>
      <c r="C5" s="213"/>
      <c r="D5" s="213"/>
      <c r="E5" s="213"/>
      <c r="F5" s="213"/>
      <c r="G5" s="213"/>
      <c r="H5" s="213"/>
      <c r="I5" s="213"/>
      <c r="J5" s="213"/>
      <c r="K5" s="213"/>
    </row>
    <row r="6" spans="1:12" ht="12.75">
      <c r="A6" s="215" t="s">
        <v>193</v>
      </c>
      <c r="B6" s="215" t="s">
        <v>194</v>
      </c>
      <c r="C6" s="216" t="s">
        <v>194</v>
      </c>
      <c r="D6" s="216"/>
      <c r="E6" s="216"/>
      <c r="F6" s="215"/>
      <c r="G6" s="216" t="s">
        <v>195</v>
      </c>
      <c r="H6" s="216" t="s">
        <v>196</v>
      </c>
      <c r="I6" s="216" t="s">
        <v>197</v>
      </c>
      <c r="J6" s="216" t="s">
        <v>198</v>
      </c>
      <c r="K6" s="217"/>
      <c r="L6" s="217"/>
    </row>
    <row r="7" spans="1:12" ht="12.75">
      <c r="A7" s="218" t="s">
        <v>199</v>
      </c>
      <c r="B7" s="218" t="s">
        <v>200</v>
      </c>
      <c r="C7" s="219" t="s">
        <v>201</v>
      </c>
      <c r="D7" s="219" t="s">
        <v>202</v>
      </c>
      <c r="E7" s="219" t="s">
        <v>203</v>
      </c>
      <c r="F7" s="219" t="s">
        <v>204</v>
      </c>
      <c r="G7" s="219" t="s">
        <v>205</v>
      </c>
      <c r="H7" s="219" t="s">
        <v>206</v>
      </c>
      <c r="I7" s="219" t="s">
        <v>207</v>
      </c>
      <c r="J7" s="219" t="s">
        <v>208</v>
      </c>
      <c r="K7" s="219" t="s">
        <v>209</v>
      </c>
      <c r="L7" s="219" t="s">
        <v>210</v>
      </c>
    </row>
    <row r="8" spans="1:13" ht="12.75">
      <c r="A8" s="220" t="s">
        <v>211</v>
      </c>
      <c r="B8" s="221" t="s">
        <v>212</v>
      </c>
      <c r="C8" s="222" t="s">
        <v>213</v>
      </c>
      <c r="D8" s="222">
        <v>62619</v>
      </c>
      <c r="E8" s="222">
        <v>240.13</v>
      </c>
      <c r="F8" s="222">
        <v>44</v>
      </c>
      <c r="G8" s="222" t="s">
        <v>214</v>
      </c>
      <c r="H8" s="222" t="s">
        <v>215</v>
      </c>
      <c r="I8" s="275">
        <v>69842.85714285714</v>
      </c>
      <c r="J8" s="223">
        <v>2</v>
      </c>
      <c r="K8" s="221" t="s">
        <v>216</v>
      </c>
      <c r="L8" s="221" t="s">
        <v>216</v>
      </c>
      <c r="M8" s="123"/>
    </row>
    <row r="9" spans="1:13" ht="12.75">
      <c r="A9" s="220" t="s">
        <v>211</v>
      </c>
      <c r="B9" s="221" t="s">
        <v>217</v>
      </c>
      <c r="C9" s="222" t="s">
        <v>218</v>
      </c>
      <c r="D9" s="222">
        <v>57929</v>
      </c>
      <c r="E9" s="222">
        <v>236.28</v>
      </c>
      <c r="F9" s="222">
        <v>42</v>
      </c>
      <c r="G9" s="222" t="s">
        <v>214</v>
      </c>
      <c r="H9" s="222" t="s">
        <v>215</v>
      </c>
      <c r="I9" s="275">
        <v>58842.222222222226</v>
      </c>
      <c r="J9" s="223">
        <v>1</v>
      </c>
      <c r="K9" s="221" t="s">
        <v>216</v>
      </c>
      <c r="L9" s="221" t="s">
        <v>216</v>
      </c>
      <c r="M9" s="123"/>
    </row>
    <row r="10" spans="1:12" ht="12.75">
      <c r="A10" s="220">
        <v>1</v>
      </c>
      <c r="B10" s="221" t="s">
        <v>219</v>
      </c>
      <c r="C10" s="222" t="s">
        <v>218</v>
      </c>
      <c r="D10" s="222">
        <v>58156</v>
      </c>
      <c r="E10" s="222">
        <v>234.88</v>
      </c>
      <c r="F10" s="222">
        <v>42</v>
      </c>
      <c r="G10" s="222" t="s">
        <v>214</v>
      </c>
      <c r="H10" s="222" t="s">
        <v>215</v>
      </c>
      <c r="I10" s="275">
        <v>7667.142857142858</v>
      </c>
      <c r="J10" s="223">
        <v>1</v>
      </c>
      <c r="K10" s="221" t="s">
        <v>220</v>
      </c>
      <c r="L10" s="221" t="s">
        <v>220</v>
      </c>
    </row>
    <row r="11" spans="1:13" ht="12.75">
      <c r="A11" s="220">
        <v>2</v>
      </c>
      <c r="B11" s="221" t="s">
        <v>221</v>
      </c>
      <c r="C11" s="222" t="s">
        <v>222</v>
      </c>
      <c r="D11" s="222">
        <v>58288</v>
      </c>
      <c r="E11" s="222">
        <v>234.88</v>
      </c>
      <c r="F11" s="222">
        <v>42</v>
      </c>
      <c r="G11" s="222" t="s">
        <v>214</v>
      </c>
      <c r="H11" s="222" t="s">
        <v>215</v>
      </c>
      <c r="I11" s="275">
        <v>81461.11111111111</v>
      </c>
      <c r="J11" s="223">
        <v>1</v>
      </c>
      <c r="K11" s="221" t="s">
        <v>216</v>
      </c>
      <c r="L11" s="221" t="s">
        <v>216</v>
      </c>
      <c r="M11" s="123"/>
    </row>
    <row r="12" spans="1:13" ht="12.75">
      <c r="A12" s="220">
        <v>3</v>
      </c>
      <c r="B12" s="221" t="s">
        <v>223</v>
      </c>
      <c r="C12" s="222" t="s">
        <v>222</v>
      </c>
      <c r="D12" s="222">
        <v>41994</v>
      </c>
      <c r="E12" s="222">
        <v>221.67</v>
      </c>
      <c r="F12" s="222">
        <v>32</v>
      </c>
      <c r="G12" s="222" t="s">
        <v>214</v>
      </c>
      <c r="H12" s="222" t="s">
        <v>215</v>
      </c>
      <c r="I12" s="275">
        <v>51644.444444444445</v>
      </c>
      <c r="J12" s="223">
        <v>1</v>
      </c>
      <c r="K12" s="221" t="s">
        <v>216</v>
      </c>
      <c r="L12" s="221" t="s">
        <v>216</v>
      </c>
      <c r="M12" s="224"/>
    </row>
    <row r="13" spans="1:13" ht="12.75">
      <c r="A13" s="220">
        <v>4</v>
      </c>
      <c r="B13" s="221" t="s">
        <v>224</v>
      </c>
      <c r="C13" s="222" t="s">
        <v>222</v>
      </c>
      <c r="D13" s="222">
        <v>62385</v>
      </c>
      <c r="E13" s="222">
        <v>240.4</v>
      </c>
      <c r="F13" s="222">
        <v>44</v>
      </c>
      <c r="G13" s="222" t="s">
        <v>214</v>
      </c>
      <c r="H13" s="222" t="s">
        <v>215</v>
      </c>
      <c r="I13" s="275">
        <v>107073.96825396825</v>
      </c>
      <c r="J13" s="223">
        <v>2</v>
      </c>
      <c r="K13" s="221" t="s">
        <v>216</v>
      </c>
      <c r="L13" s="221" t="s">
        <v>216</v>
      </c>
      <c r="M13" s="224"/>
    </row>
    <row r="14" spans="1:13" ht="12.75">
      <c r="A14" s="220">
        <v>5</v>
      </c>
      <c r="B14" s="221" t="s">
        <v>225</v>
      </c>
      <c r="C14" s="222" t="s">
        <v>226</v>
      </c>
      <c r="D14" s="222">
        <v>57683</v>
      </c>
      <c r="E14" s="222">
        <v>231.41</v>
      </c>
      <c r="F14" s="222">
        <v>42</v>
      </c>
      <c r="G14" s="222" t="s">
        <v>214</v>
      </c>
      <c r="H14" s="222" t="s">
        <v>215</v>
      </c>
      <c r="I14" s="275">
        <v>82743.80952380953</v>
      </c>
      <c r="J14" s="223">
        <v>1</v>
      </c>
      <c r="K14" s="221" t="s">
        <v>216</v>
      </c>
      <c r="L14" s="221" t="s">
        <v>216</v>
      </c>
      <c r="M14" s="224"/>
    </row>
    <row r="15" spans="1:13" ht="12.75">
      <c r="A15" s="220">
        <v>6</v>
      </c>
      <c r="B15" s="221" t="s">
        <v>227</v>
      </c>
      <c r="C15" s="222" t="s">
        <v>228</v>
      </c>
      <c r="D15" s="222">
        <v>60185</v>
      </c>
      <c r="E15" s="222">
        <v>234.79</v>
      </c>
      <c r="F15" s="222">
        <v>42</v>
      </c>
      <c r="G15" s="222" t="s">
        <v>214</v>
      </c>
      <c r="H15" s="222" t="s">
        <v>215</v>
      </c>
      <c r="I15" s="275">
        <v>79869.04761904762</v>
      </c>
      <c r="J15" s="223">
        <v>1</v>
      </c>
      <c r="K15" s="221" t="s">
        <v>216</v>
      </c>
      <c r="L15" s="221" t="s">
        <v>216</v>
      </c>
      <c r="M15" s="224"/>
    </row>
    <row r="16" spans="1:13" ht="12.75">
      <c r="A16" s="220">
        <v>7</v>
      </c>
      <c r="B16" s="221" t="s">
        <v>221</v>
      </c>
      <c r="C16" s="222" t="s">
        <v>222</v>
      </c>
      <c r="D16" s="222">
        <v>58288</v>
      </c>
      <c r="E16" s="222">
        <v>234.88</v>
      </c>
      <c r="F16" s="222">
        <v>42</v>
      </c>
      <c r="G16" s="222" t="s">
        <v>214</v>
      </c>
      <c r="H16" s="222" t="s">
        <v>215</v>
      </c>
      <c r="I16" s="275">
        <v>74733.80952380953</v>
      </c>
      <c r="J16" s="223">
        <v>2</v>
      </c>
      <c r="K16" s="221" t="s">
        <v>216</v>
      </c>
      <c r="L16" s="221" t="s">
        <v>216</v>
      </c>
      <c r="M16" s="224"/>
    </row>
    <row r="17" spans="1:12" ht="12.75">
      <c r="A17" s="220">
        <v>8</v>
      </c>
      <c r="B17" s="221" t="s">
        <v>229</v>
      </c>
      <c r="C17" s="222" t="s">
        <v>226</v>
      </c>
      <c r="D17" s="222">
        <v>59574</v>
      </c>
      <c r="E17" s="222">
        <v>235.73</v>
      </c>
      <c r="F17" s="222">
        <v>22</v>
      </c>
      <c r="G17" s="222" t="s">
        <v>214</v>
      </c>
      <c r="H17" s="222" t="s">
        <v>215</v>
      </c>
      <c r="I17" s="275">
        <v>87364.60317460318</v>
      </c>
      <c r="J17" s="223">
        <v>2</v>
      </c>
      <c r="K17" s="221" t="s">
        <v>216</v>
      </c>
      <c r="L17" s="221" t="s">
        <v>216</v>
      </c>
    </row>
    <row r="18" spans="1:12" ht="12.75">
      <c r="A18" s="220">
        <v>9</v>
      </c>
      <c r="B18" s="221" t="s">
        <v>230</v>
      </c>
      <c r="C18" s="222" t="s">
        <v>231</v>
      </c>
      <c r="D18" s="222">
        <v>67032</v>
      </c>
      <c r="E18" s="222">
        <v>240.97</v>
      </c>
      <c r="F18" s="222">
        <v>44</v>
      </c>
      <c r="G18" s="222" t="s">
        <v>214</v>
      </c>
      <c r="H18" s="222" t="s">
        <v>215</v>
      </c>
      <c r="I18" s="275">
        <v>83395.39682539683</v>
      </c>
      <c r="J18" s="223">
        <v>2</v>
      </c>
      <c r="K18" s="221" t="s">
        <v>216</v>
      </c>
      <c r="L18" s="221" t="s">
        <v>216</v>
      </c>
    </row>
    <row r="19" spans="1:12" ht="12.75">
      <c r="A19" s="220">
        <v>10</v>
      </c>
      <c r="B19" s="221" t="s">
        <v>232</v>
      </c>
      <c r="C19" s="222" t="s">
        <v>222</v>
      </c>
      <c r="D19" s="222">
        <v>58288</v>
      </c>
      <c r="E19" s="222">
        <v>234.88</v>
      </c>
      <c r="F19" s="222">
        <v>42</v>
      </c>
      <c r="G19" s="222" t="s">
        <v>214</v>
      </c>
      <c r="H19" s="222" t="s">
        <v>215</v>
      </c>
      <c r="I19" s="275">
        <v>80123.96825396825</v>
      </c>
      <c r="J19" s="223">
        <v>1</v>
      </c>
      <c r="K19" s="221" t="s">
        <v>216</v>
      </c>
      <c r="L19" s="221" t="s">
        <v>216</v>
      </c>
    </row>
    <row r="20" spans="1:12" ht="12.75">
      <c r="A20" s="220">
        <v>11</v>
      </c>
      <c r="B20" s="221" t="s">
        <v>227</v>
      </c>
      <c r="C20" s="222" t="s">
        <v>228</v>
      </c>
      <c r="D20" s="222">
        <v>60185</v>
      </c>
      <c r="E20" s="222">
        <v>234.79</v>
      </c>
      <c r="F20" s="222">
        <v>42</v>
      </c>
      <c r="G20" s="222" t="s">
        <v>214</v>
      </c>
      <c r="H20" s="222" t="s">
        <v>215</v>
      </c>
      <c r="I20" s="275">
        <v>71442.69841269842</v>
      </c>
      <c r="J20" s="223">
        <v>2</v>
      </c>
      <c r="K20" s="221" t="s">
        <v>216</v>
      </c>
      <c r="L20" s="221" t="s">
        <v>216</v>
      </c>
    </row>
    <row r="21" spans="1:12" ht="12.75">
      <c r="A21" s="220">
        <v>12</v>
      </c>
      <c r="B21" s="221" t="s">
        <v>233</v>
      </c>
      <c r="C21" s="222" t="s">
        <v>234</v>
      </c>
      <c r="D21" s="222">
        <v>61342</v>
      </c>
      <c r="E21" s="222">
        <v>240.63</v>
      </c>
      <c r="F21" s="222">
        <v>44</v>
      </c>
      <c r="G21" s="222" t="s">
        <v>214</v>
      </c>
      <c r="H21" s="222" t="s">
        <v>215</v>
      </c>
      <c r="I21" s="275">
        <v>75441.74603174604</v>
      </c>
      <c r="J21" s="223">
        <v>1</v>
      </c>
      <c r="K21" s="221" t="s">
        <v>216</v>
      </c>
      <c r="L21" s="221" t="s">
        <v>216</v>
      </c>
    </row>
    <row r="22" spans="1:12" ht="12.75">
      <c r="A22" s="220">
        <v>13</v>
      </c>
      <c r="B22" s="221" t="s">
        <v>235</v>
      </c>
      <c r="C22" s="222" t="s">
        <v>236</v>
      </c>
      <c r="D22" s="222">
        <v>57148</v>
      </c>
      <c r="E22" s="222">
        <v>235.77</v>
      </c>
      <c r="F22" s="222">
        <v>42</v>
      </c>
      <c r="G22" s="222" t="s">
        <v>214</v>
      </c>
      <c r="H22" s="222" t="s">
        <v>215</v>
      </c>
      <c r="I22" s="275">
        <v>79431.11111111111</v>
      </c>
      <c r="J22" s="223">
        <v>2</v>
      </c>
      <c r="K22" s="221" t="s">
        <v>216</v>
      </c>
      <c r="L22" s="221" t="s">
        <v>216</v>
      </c>
    </row>
    <row r="23" spans="1:12" ht="12.75">
      <c r="A23" s="220">
        <v>14</v>
      </c>
      <c r="B23" s="221" t="s">
        <v>237</v>
      </c>
      <c r="C23" s="222" t="s">
        <v>222</v>
      </c>
      <c r="D23" s="222">
        <v>61342</v>
      </c>
      <c r="E23" s="222">
        <v>240.63</v>
      </c>
      <c r="F23" s="222">
        <v>44</v>
      </c>
      <c r="G23" s="222" t="s">
        <v>214</v>
      </c>
      <c r="H23" s="222" t="s">
        <v>215</v>
      </c>
      <c r="I23" s="275">
        <v>71458.09523809524</v>
      </c>
      <c r="J23" s="223">
        <v>1</v>
      </c>
      <c r="K23" s="221" t="s">
        <v>216</v>
      </c>
      <c r="L23" s="221" t="s">
        <v>216</v>
      </c>
    </row>
    <row r="24" spans="1:12" ht="12.75">
      <c r="A24" s="220">
        <v>15</v>
      </c>
      <c r="B24" s="221" t="s">
        <v>238</v>
      </c>
      <c r="C24" s="222" t="s">
        <v>239</v>
      </c>
      <c r="D24" s="222">
        <v>59671</v>
      </c>
      <c r="E24" s="222">
        <v>235.72</v>
      </c>
      <c r="F24" s="222">
        <v>42</v>
      </c>
      <c r="G24" s="222" t="s">
        <v>214</v>
      </c>
      <c r="H24" s="222" t="s">
        <v>215</v>
      </c>
      <c r="I24" s="275">
        <v>79328.09523809524</v>
      </c>
      <c r="J24" s="223">
        <v>2</v>
      </c>
      <c r="K24" s="221" t="s">
        <v>216</v>
      </c>
      <c r="L24" s="221" t="s">
        <v>216</v>
      </c>
    </row>
    <row r="25" spans="1:12" ht="12.75">
      <c r="A25" s="220">
        <v>16</v>
      </c>
      <c r="B25" s="221" t="s">
        <v>240</v>
      </c>
      <c r="C25" s="222" t="s">
        <v>241</v>
      </c>
      <c r="D25" s="222">
        <v>53074</v>
      </c>
      <c r="E25" s="222">
        <v>239.9</v>
      </c>
      <c r="F25" s="222">
        <v>43</v>
      </c>
      <c r="G25" s="222" t="s">
        <v>214</v>
      </c>
      <c r="H25" s="222" t="s">
        <v>215</v>
      </c>
      <c r="I25" s="275">
        <v>84226.66666666667</v>
      </c>
      <c r="J25" s="223">
        <v>1</v>
      </c>
      <c r="K25" s="221" t="s">
        <v>216</v>
      </c>
      <c r="L25" s="221" t="s">
        <v>216</v>
      </c>
    </row>
    <row r="26" ht="12.75">
      <c r="I26" s="225">
        <f>SUM(I8:I25)</f>
        <v>1326090.7936507936</v>
      </c>
    </row>
    <row r="37" ht="12.75">
      <c r="I37" t="s">
        <v>157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="148" zoomScaleNormal="148" zoomScalePageLayoutView="0" workbookViewId="0" topLeftCell="A1">
      <selection activeCell="I18" sqref="I18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12"/>
      <c r="D1" s="226"/>
      <c r="E1" s="226"/>
      <c r="F1" s="226"/>
      <c r="G1" s="226"/>
      <c r="H1" s="226"/>
    </row>
    <row r="2" spans="1:10" ht="12.75">
      <c r="A2" s="212"/>
      <c r="B2" s="320" t="s">
        <v>190</v>
      </c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21" t="s">
        <v>242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 t="s">
        <v>117</v>
      </c>
    </row>
    <row r="5" spans="1:10" ht="12.75">
      <c r="A5" s="322" t="s">
        <v>243</v>
      </c>
      <c r="B5" s="216" t="s">
        <v>205</v>
      </c>
      <c r="C5" s="216"/>
      <c r="D5" s="227"/>
      <c r="E5" s="216"/>
      <c r="F5" s="216"/>
      <c r="G5" s="216"/>
      <c r="H5" s="324" t="s">
        <v>244</v>
      </c>
      <c r="I5" s="322" t="s">
        <v>245</v>
      </c>
      <c r="J5" s="322" t="s">
        <v>246</v>
      </c>
    </row>
    <row r="6" spans="1:10" ht="12.75">
      <c r="A6" s="323"/>
      <c r="B6" s="219" t="s">
        <v>247</v>
      </c>
      <c r="C6" s="219" t="s">
        <v>201</v>
      </c>
      <c r="D6" s="228" t="s">
        <v>248</v>
      </c>
      <c r="E6" s="219" t="s">
        <v>203</v>
      </c>
      <c r="F6" s="219" t="s">
        <v>204</v>
      </c>
      <c r="G6" s="219" t="s">
        <v>249</v>
      </c>
      <c r="H6" s="325"/>
      <c r="I6" s="323"/>
      <c r="J6" s="323"/>
    </row>
    <row r="7" spans="1:10" s="139" customFormat="1" ht="12.75">
      <c r="A7" s="229">
        <v>1</v>
      </c>
      <c r="B7" s="230" t="s">
        <v>250</v>
      </c>
      <c r="C7" s="230" t="s">
        <v>226</v>
      </c>
      <c r="D7" s="231">
        <v>2815</v>
      </c>
      <c r="E7" s="231">
        <v>80.69</v>
      </c>
      <c r="F7" s="231">
        <v>15</v>
      </c>
      <c r="G7" s="230" t="s">
        <v>251</v>
      </c>
      <c r="H7" s="232">
        <v>38.046</v>
      </c>
      <c r="I7" s="230" t="s">
        <v>252</v>
      </c>
      <c r="J7" s="233" t="s">
        <v>253</v>
      </c>
    </row>
    <row r="8" spans="1:10" s="139" customFormat="1" ht="12.75">
      <c r="A8" s="229">
        <v>2</v>
      </c>
      <c r="B8" s="230" t="s">
        <v>254</v>
      </c>
      <c r="C8" s="230" t="s">
        <v>220</v>
      </c>
      <c r="D8" s="231">
        <v>2537</v>
      </c>
      <c r="E8" s="231">
        <v>67.93</v>
      </c>
      <c r="F8" s="231">
        <v>17</v>
      </c>
      <c r="G8" s="230" t="s">
        <v>255</v>
      </c>
      <c r="H8" s="232">
        <v>166.93</v>
      </c>
      <c r="I8" s="230" t="s">
        <v>166</v>
      </c>
      <c r="J8" s="233" t="s">
        <v>256</v>
      </c>
    </row>
    <row r="9" spans="1:10" s="139" customFormat="1" ht="12.75">
      <c r="A9" s="229">
        <v>3</v>
      </c>
      <c r="B9" s="230" t="s">
        <v>257</v>
      </c>
      <c r="C9" s="230" t="s">
        <v>220</v>
      </c>
      <c r="D9" s="231">
        <v>1765</v>
      </c>
      <c r="E9" s="231">
        <v>57.12</v>
      </c>
      <c r="F9" s="231">
        <v>16.15</v>
      </c>
      <c r="G9" s="230" t="s">
        <v>258</v>
      </c>
      <c r="H9" s="232">
        <v>50</v>
      </c>
      <c r="I9" s="230" t="s">
        <v>256</v>
      </c>
      <c r="J9" s="233" t="s">
        <v>166</v>
      </c>
    </row>
    <row r="10" spans="1:10" s="139" customFormat="1" ht="12.75">
      <c r="A10" s="229">
        <v>4</v>
      </c>
      <c r="B10" s="230" t="s">
        <v>259</v>
      </c>
      <c r="C10" s="230" t="s">
        <v>260</v>
      </c>
      <c r="D10" s="231">
        <v>108</v>
      </c>
      <c r="E10" s="231">
        <v>25.31</v>
      </c>
      <c r="F10" s="231">
        <v>6</v>
      </c>
      <c r="G10" s="230" t="s">
        <v>261</v>
      </c>
      <c r="H10" s="232">
        <v>10</v>
      </c>
      <c r="I10" s="230" t="s">
        <v>166</v>
      </c>
      <c r="J10" s="233" t="s">
        <v>256</v>
      </c>
    </row>
    <row r="11" spans="1:10" s="139" customFormat="1" ht="12.75">
      <c r="A11" s="229">
        <v>5</v>
      </c>
      <c r="B11" s="230" t="s">
        <v>254</v>
      </c>
      <c r="C11" s="230" t="s">
        <v>220</v>
      </c>
      <c r="D11" s="231">
        <v>2537</v>
      </c>
      <c r="E11" s="231">
        <v>67.93</v>
      </c>
      <c r="F11" s="231">
        <v>17</v>
      </c>
      <c r="G11" s="230" t="s">
        <v>255</v>
      </c>
      <c r="H11" s="232">
        <v>281.944</v>
      </c>
      <c r="I11" s="230" t="s">
        <v>166</v>
      </c>
      <c r="J11" s="233" t="s">
        <v>256</v>
      </c>
    </row>
    <row r="12" spans="1:10" s="139" customFormat="1" ht="12.75">
      <c r="A12" s="229">
        <v>6</v>
      </c>
      <c r="B12" s="230" t="s">
        <v>262</v>
      </c>
      <c r="C12" s="230" t="s">
        <v>263</v>
      </c>
      <c r="D12" s="231">
        <v>2532</v>
      </c>
      <c r="E12" s="231">
        <v>87.9</v>
      </c>
      <c r="F12" s="231">
        <v>13</v>
      </c>
      <c r="G12" s="230" t="s">
        <v>251</v>
      </c>
      <c r="H12" s="232">
        <v>1186.066</v>
      </c>
      <c r="I12" s="230" t="s">
        <v>264</v>
      </c>
      <c r="J12" s="233" t="s">
        <v>166</v>
      </c>
    </row>
    <row r="13" spans="1:10" s="139" customFormat="1" ht="12.75">
      <c r="A13" s="229">
        <v>7</v>
      </c>
      <c r="B13" s="234" t="s">
        <v>254</v>
      </c>
      <c r="C13" s="234" t="s">
        <v>220</v>
      </c>
      <c r="D13" s="229">
        <v>2537</v>
      </c>
      <c r="E13" s="229">
        <v>67.93</v>
      </c>
      <c r="F13" s="229">
        <v>17</v>
      </c>
      <c r="G13" s="234" t="s">
        <v>255</v>
      </c>
      <c r="H13" s="235">
        <v>304.184</v>
      </c>
      <c r="I13" s="234" t="s">
        <v>166</v>
      </c>
      <c r="J13" s="236" t="s">
        <v>256</v>
      </c>
    </row>
    <row r="14" ht="12.75">
      <c r="H14" s="237">
        <f>SUM(H7:H13)</f>
        <v>2037.17</v>
      </c>
    </row>
    <row r="32" ht="12.75">
      <c r="I32" t="s">
        <v>157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9195" topLeftCell="A36" activePane="topLeft" state="split"/>
      <selection pane="topLeft" activeCell="L38" sqref="L38"/>
      <selection pane="bottomLeft" activeCell="J36" sqref="J36"/>
    </sheetView>
  </sheetViews>
  <sheetFormatPr defaultColWidth="11.421875" defaultRowHeight="12.75"/>
  <cols>
    <col min="1" max="1" width="38.28125" style="0" customWidth="1"/>
    <col min="12" max="12" width="11.7109375" style="0" bestFit="1" customWidth="1"/>
  </cols>
  <sheetData>
    <row r="1" spans="1:9" ht="12.75">
      <c r="A1" s="326" t="s">
        <v>265</v>
      </c>
      <c r="B1" s="326"/>
      <c r="C1" s="326"/>
      <c r="D1" s="326"/>
      <c r="E1" s="326"/>
      <c r="F1" s="326"/>
      <c r="G1" s="326"/>
      <c r="H1" s="326"/>
      <c r="I1" s="326"/>
    </row>
    <row r="2" ht="13.5" thickBot="1"/>
    <row r="3" spans="1:12" ht="12.75">
      <c r="A3" s="238" t="s">
        <v>0</v>
      </c>
      <c r="B3" s="239" t="s">
        <v>27</v>
      </c>
      <c r="C3" s="239" t="s">
        <v>79</v>
      </c>
      <c r="D3" s="239" t="s">
        <v>82</v>
      </c>
      <c r="E3" s="239" t="s">
        <v>85</v>
      </c>
      <c r="F3" s="239" t="s">
        <v>87</v>
      </c>
      <c r="G3" s="239" t="s">
        <v>89</v>
      </c>
      <c r="H3" s="239" t="s">
        <v>91</v>
      </c>
      <c r="I3" s="239" t="s">
        <v>92</v>
      </c>
      <c r="J3" s="239" t="s">
        <v>93</v>
      </c>
      <c r="K3" s="239" t="s">
        <v>94</v>
      </c>
      <c r="L3" s="239" t="s">
        <v>95</v>
      </c>
    </row>
    <row r="4" spans="1:12" ht="12.75">
      <c r="A4" s="240" t="s">
        <v>281</v>
      </c>
      <c r="B4" s="241">
        <f aca="true" t="shared" si="0" ref="B4:I4">SUM(B5:B8)</f>
        <v>587</v>
      </c>
      <c r="C4" s="241">
        <f t="shared" si="0"/>
        <v>513</v>
      </c>
      <c r="D4" s="241">
        <f t="shared" si="0"/>
        <v>535</v>
      </c>
      <c r="E4" s="241">
        <f t="shared" si="0"/>
        <v>434</v>
      </c>
      <c r="F4" s="241">
        <f t="shared" si="0"/>
        <v>500</v>
      </c>
      <c r="G4" s="241">
        <f t="shared" si="0"/>
        <v>431</v>
      </c>
      <c r="H4" s="241">
        <f t="shared" si="0"/>
        <v>471</v>
      </c>
      <c r="I4" s="241">
        <f t="shared" si="0"/>
        <v>389</v>
      </c>
      <c r="J4" s="241">
        <f>SUM(J5:J8)</f>
        <v>439</v>
      </c>
      <c r="K4" s="241">
        <f>SUM(K5:K8)</f>
        <v>406</v>
      </c>
      <c r="L4" s="242">
        <f>SUM(L5:L8)</f>
        <v>463</v>
      </c>
    </row>
    <row r="5" spans="1:12" ht="12.75">
      <c r="A5" s="243" t="s">
        <v>266</v>
      </c>
      <c r="B5" s="244">
        <v>483</v>
      </c>
      <c r="C5" s="244">
        <v>440</v>
      </c>
      <c r="D5" s="244">
        <v>462</v>
      </c>
      <c r="E5" s="244">
        <v>364</v>
      </c>
      <c r="F5" s="244">
        <v>393</v>
      </c>
      <c r="G5" s="244">
        <v>377</v>
      </c>
      <c r="H5" s="244">
        <v>375</v>
      </c>
      <c r="I5" s="244">
        <v>307</v>
      </c>
      <c r="J5" s="244">
        <v>374</v>
      </c>
      <c r="K5" s="244">
        <v>344</v>
      </c>
      <c r="L5" s="245">
        <v>400</v>
      </c>
    </row>
    <row r="6" spans="1:12" ht="12.75">
      <c r="A6" s="243" t="s">
        <v>54</v>
      </c>
      <c r="B6" s="244">
        <v>11</v>
      </c>
      <c r="C6" s="244">
        <v>9</v>
      </c>
      <c r="D6" s="244">
        <v>10</v>
      </c>
      <c r="E6" s="244">
        <v>17</v>
      </c>
      <c r="F6" s="244">
        <v>16</v>
      </c>
      <c r="G6" s="244">
        <v>21</v>
      </c>
      <c r="H6" s="244">
        <v>19</v>
      </c>
      <c r="I6" s="244">
        <v>20</v>
      </c>
      <c r="J6" s="244">
        <v>14</v>
      </c>
      <c r="K6" s="244">
        <v>12</v>
      </c>
      <c r="L6" s="245">
        <v>7</v>
      </c>
    </row>
    <row r="7" spans="1:12" ht="12.75">
      <c r="A7" s="243" t="s">
        <v>55</v>
      </c>
      <c r="B7" s="244">
        <v>84</v>
      </c>
      <c r="C7" s="244">
        <v>58</v>
      </c>
      <c r="D7" s="244">
        <v>54</v>
      </c>
      <c r="E7" s="244">
        <v>44</v>
      </c>
      <c r="F7" s="244">
        <v>79</v>
      </c>
      <c r="G7" s="244">
        <v>23</v>
      </c>
      <c r="H7" s="244">
        <v>66</v>
      </c>
      <c r="I7" s="244">
        <v>55</v>
      </c>
      <c r="J7" s="244">
        <v>42</v>
      </c>
      <c r="K7" s="244">
        <v>40</v>
      </c>
      <c r="L7" s="245">
        <v>40</v>
      </c>
    </row>
    <row r="8" spans="1:12" ht="12.75">
      <c r="A8" s="243" t="s">
        <v>57</v>
      </c>
      <c r="B8" s="244">
        <v>9</v>
      </c>
      <c r="C8" s="244">
        <v>6</v>
      </c>
      <c r="D8" s="244">
        <v>9</v>
      </c>
      <c r="E8" s="244">
        <v>9</v>
      </c>
      <c r="F8" s="244">
        <v>12</v>
      </c>
      <c r="G8" s="244">
        <v>10</v>
      </c>
      <c r="H8" s="244">
        <v>11</v>
      </c>
      <c r="I8" s="244">
        <v>7</v>
      </c>
      <c r="J8" s="244">
        <v>9</v>
      </c>
      <c r="K8" s="244">
        <v>10</v>
      </c>
      <c r="L8" s="246">
        <v>16</v>
      </c>
    </row>
    <row r="9" spans="1:12" ht="12.75">
      <c r="A9" s="240" t="s">
        <v>267</v>
      </c>
      <c r="B9" s="241">
        <f>SUM(B10:B13)</f>
        <v>513</v>
      </c>
      <c r="C9" s="241">
        <f aca="true" t="shared" si="1" ref="C9:I9">SUM(C10:C13)</f>
        <v>471</v>
      </c>
      <c r="D9" s="241">
        <f t="shared" si="1"/>
        <v>467</v>
      </c>
      <c r="E9" s="241">
        <f t="shared" si="1"/>
        <v>496</v>
      </c>
      <c r="F9" s="241">
        <f t="shared" si="1"/>
        <v>557</v>
      </c>
      <c r="G9" s="241">
        <f t="shared" si="1"/>
        <v>598</v>
      </c>
      <c r="H9" s="241">
        <f t="shared" si="1"/>
        <v>565</v>
      </c>
      <c r="I9" s="241">
        <f t="shared" si="1"/>
        <v>587</v>
      </c>
      <c r="J9" s="241">
        <f>SUM(J10:J13)</f>
        <v>487</v>
      </c>
      <c r="K9" s="241">
        <f>SUM(K10:K13)</f>
        <v>653</v>
      </c>
      <c r="L9" s="242">
        <f>SUM(L10:L13)</f>
        <v>576</v>
      </c>
    </row>
    <row r="10" spans="1:12" ht="12.75">
      <c r="A10" s="243" t="s">
        <v>266</v>
      </c>
      <c r="B10" s="244">
        <f>'[1]Mov.PortuarioMensual '!$C$8</f>
        <v>477</v>
      </c>
      <c r="C10" s="244">
        <f>'[1]Mov.PortuarioMensual '!$D$8</f>
        <v>425</v>
      </c>
      <c r="D10" s="244">
        <f>'[1]Mov.PortuarioMensual '!$E$8</f>
        <v>383</v>
      </c>
      <c r="E10" s="244">
        <f>'[1]Mov.PortuarioMensual '!$F$8</f>
        <v>415</v>
      </c>
      <c r="F10" s="244">
        <f>'[1]Mov.PortuarioMensual '!$G$8</f>
        <v>413</v>
      </c>
      <c r="G10" s="244">
        <f>'[1]Mov.PortuarioMensual '!$H$8</f>
        <v>435</v>
      </c>
      <c r="H10" s="244">
        <f>'[1]Mov.PortuarioMensual '!$I$8</f>
        <v>433</v>
      </c>
      <c r="I10" s="244">
        <f>'[1]Mov.PortuarioMensual '!$J$8</f>
        <v>463</v>
      </c>
      <c r="J10" s="244">
        <v>399</v>
      </c>
      <c r="K10" s="244">
        <v>463</v>
      </c>
      <c r="L10" s="245">
        <v>441</v>
      </c>
    </row>
    <row r="11" spans="1:12" ht="12.75">
      <c r="A11" s="243" t="s">
        <v>54</v>
      </c>
      <c r="B11" s="244">
        <f>'[1]Mov.PortuarioMensual '!$C$9</f>
        <v>16</v>
      </c>
      <c r="C11" s="244">
        <f>'[1]Mov.PortuarioMensual '!$D$9</f>
        <v>24</v>
      </c>
      <c r="D11" s="244">
        <v>30</v>
      </c>
      <c r="E11" s="244">
        <v>36</v>
      </c>
      <c r="F11" s="244">
        <v>37</v>
      </c>
      <c r="G11" s="244">
        <v>42</v>
      </c>
      <c r="H11" s="244">
        <v>42</v>
      </c>
      <c r="I11" s="244">
        <v>28</v>
      </c>
      <c r="J11" s="244">
        <v>12</v>
      </c>
      <c r="K11" s="244">
        <v>30</v>
      </c>
      <c r="L11" s="245">
        <v>12</v>
      </c>
    </row>
    <row r="12" spans="1:12" ht="12.75">
      <c r="A12" s="243" t="s">
        <v>55</v>
      </c>
      <c r="B12" s="244">
        <f>'[1]Mov.PortuarioMensual '!$C$10</f>
        <v>7</v>
      </c>
      <c r="C12" s="244">
        <v>15</v>
      </c>
      <c r="D12" s="244">
        <v>45</v>
      </c>
      <c r="E12" s="244">
        <v>42</v>
      </c>
      <c r="F12" s="244">
        <v>103</v>
      </c>
      <c r="G12" s="244">
        <v>116</v>
      </c>
      <c r="H12" s="244">
        <v>84</v>
      </c>
      <c r="I12" s="244">
        <v>94</v>
      </c>
      <c r="J12" s="244">
        <v>75</v>
      </c>
      <c r="K12" s="244">
        <v>157</v>
      </c>
      <c r="L12" s="245">
        <v>118</v>
      </c>
    </row>
    <row r="13" spans="1:12" ht="12.75">
      <c r="A13" s="243" t="s">
        <v>57</v>
      </c>
      <c r="B13" s="244">
        <f>'[1]Mov.PortuarioMensual '!$C$11</f>
        <v>13</v>
      </c>
      <c r="C13" s="244">
        <v>7</v>
      </c>
      <c r="D13" s="244">
        <v>9</v>
      </c>
      <c r="E13" s="244">
        <v>3</v>
      </c>
      <c r="F13" s="244">
        <v>4</v>
      </c>
      <c r="G13" s="244">
        <v>5</v>
      </c>
      <c r="H13" s="244">
        <v>6</v>
      </c>
      <c r="I13" s="244">
        <v>2</v>
      </c>
      <c r="J13" s="244">
        <v>1</v>
      </c>
      <c r="K13" s="244">
        <v>3</v>
      </c>
      <c r="L13" s="245">
        <v>5</v>
      </c>
    </row>
    <row r="14" spans="1:12" ht="12.75">
      <c r="A14" s="240" t="s">
        <v>268</v>
      </c>
      <c r="B14" s="241">
        <f>SUM(B15:B17)</f>
        <v>432</v>
      </c>
      <c r="C14" s="241">
        <f aca="true" t="shared" si="2" ref="C14:I14">SUM(C15:C17)</f>
        <v>432</v>
      </c>
      <c r="D14" s="241">
        <f t="shared" si="2"/>
        <v>431</v>
      </c>
      <c r="E14" s="241">
        <f t="shared" si="2"/>
        <v>453</v>
      </c>
      <c r="F14" s="241">
        <f t="shared" si="2"/>
        <v>454</v>
      </c>
      <c r="G14" s="241">
        <f t="shared" si="2"/>
        <v>457</v>
      </c>
      <c r="H14" s="241">
        <f t="shared" si="2"/>
        <v>454</v>
      </c>
      <c r="I14" s="241">
        <f t="shared" si="2"/>
        <v>453</v>
      </c>
      <c r="J14" s="241">
        <f>SUM(J15:J17)</f>
        <v>456</v>
      </c>
      <c r="K14" s="241">
        <f>SUM(K15:K17)</f>
        <v>454</v>
      </c>
      <c r="L14" s="242">
        <f>SUM(L15:L17)</f>
        <v>448</v>
      </c>
    </row>
    <row r="15" spans="1:12" ht="12.75">
      <c r="A15" s="243" t="s">
        <v>266</v>
      </c>
      <c r="B15" s="244">
        <v>404</v>
      </c>
      <c r="C15" s="244">
        <v>387</v>
      </c>
      <c r="D15" s="244">
        <v>353</v>
      </c>
      <c r="E15" s="244">
        <v>373</v>
      </c>
      <c r="F15" s="244">
        <v>331</v>
      </c>
      <c r="G15" s="244">
        <v>327</v>
      </c>
      <c r="H15" s="244">
        <v>344</v>
      </c>
      <c r="I15" s="244">
        <v>350</v>
      </c>
      <c r="J15" s="244">
        <v>366</v>
      </c>
      <c r="K15" s="244">
        <v>315</v>
      </c>
      <c r="L15" s="245">
        <v>337</v>
      </c>
    </row>
    <row r="16" spans="1:12" ht="12.75">
      <c r="A16" s="243" t="s">
        <v>242</v>
      </c>
      <c r="B16" s="244">
        <v>19</v>
      </c>
      <c r="C16" s="244">
        <v>36</v>
      </c>
      <c r="D16" s="244">
        <v>69</v>
      </c>
      <c r="E16" s="244">
        <v>71</v>
      </c>
      <c r="F16" s="244">
        <v>114</v>
      </c>
      <c r="G16" s="244">
        <v>121</v>
      </c>
      <c r="H16" s="244">
        <v>101</v>
      </c>
      <c r="I16" s="244">
        <v>94</v>
      </c>
      <c r="J16" s="244">
        <v>81</v>
      </c>
      <c r="K16" s="244">
        <v>130</v>
      </c>
      <c r="L16" s="245">
        <v>102</v>
      </c>
    </row>
    <row r="17" spans="1:12" ht="12.75">
      <c r="A17" s="243" t="s">
        <v>57</v>
      </c>
      <c r="B17" s="244">
        <v>9</v>
      </c>
      <c r="C17" s="244">
        <v>9</v>
      </c>
      <c r="D17" s="244">
        <v>9</v>
      </c>
      <c r="E17" s="244">
        <v>9</v>
      </c>
      <c r="F17" s="244">
        <v>9</v>
      </c>
      <c r="G17" s="244">
        <v>9</v>
      </c>
      <c r="H17" s="244">
        <v>9</v>
      </c>
      <c r="I17" s="244">
        <v>9</v>
      </c>
      <c r="J17" s="244">
        <v>9</v>
      </c>
      <c r="K17" s="244">
        <v>9</v>
      </c>
      <c r="L17" s="245">
        <v>9</v>
      </c>
    </row>
    <row r="18" spans="1:12" ht="12.75">
      <c r="A18" s="247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9"/>
    </row>
    <row r="19" spans="1:12" ht="12.75">
      <c r="A19" s="250" t="s">
        <v>269</v>
      </c>
      <c r="B19" s="251">
        <f>((B4/B9)-1)*100</f>
        <v>14.42495126705654</v>
      </c>
      <c r="C19" s="251">
        <f>((C4/C9)-1)*100</f>
        <v>8.917197452229297</v>
      </c>
      <c r="D19" s="251">
        <f aca="true" t="shared" si="3" ref="D19:I19">((D4/D9)-1)*100</f>
        <v>14.5610278372591</v>
      </c>
      <c r="E19" s="251">
        <f t="shared" si="3"/>
        <v>-12.5</v>
      </c>
      <c r="F19" s="251">
        <f t="shared" si="3"/>
        <v>-10.23339317773788</v>
      </c>
      <c r="G19" s="251">
        <f t="shared" si="3"/>
        <v>-27.926421404682277</v>
      </c>
      <c r="H19" s="251">
        <f t="shared" si="3"/>
        <v>-16.637168141592916</v>
      </c>
      <c r="I19" s="251">
        <f t="shared" si="3"/>
        <v>-33.730834752981266</v>
      </c>
      <c r="J19" s="251">
        <f>((J4/J9)-1)*100</f>
        <v>-9.856262833675567</v>
      </c>
      <c r="K19" s="251">
        <f>((K4/K9)-1)*100</f>
        <v>-37.82542113323124</v>
      </c>
      <c r="L19" s="252">
        <f>((L4/L9)-1)*100</f>
        <v>-19.618055555555557</v>
      </c>
    </row>
    <row r="20" spans="1:12" ht="12.75">
      <c r="A20" s="250" t="s">
        <v>270</v>
      </c>
      <c r="B20" s="251">
        <f aca="true" t="shared" si="4" ref="B20:I20">((B4/B14)-1)*100</f>
        <v>35.879629629629626</v>
      </c>
      <c r="C20" s="251">
        <f t="shared" si="4"/>
        <v>18.75</v>
      </c>
      <c r="D20" s="251">
        <f t="shared" si="4"/>
        <v>24.129930394431565</v>
      </c>
      <c r="E20" s="251">
        <f t="shared" si="4"/>
        <v>-4.194260485651213</v>
      </c>
      <c r="F20" s="251">
        <f t="shared" si="4"/>
        <v>10.13215859030836</v>
      </c>
      <c r="G20" s="251">
        <f t="shared" si="4"/>
        <v>-5.689277899343548</v>
      </c>
      <c r="H20" s="251">
        <f t="shared" si="4"/>
        <v>3.7444933920704804</v>
      </c>
      <c r="I20" s="251">
        <f t="shared" si="4"/>
        <v>-14.128035320088305</v>
      </c>
      <c r="J20" s="251">
        <f>((J4/J14)-1)*100</f>
        <v>-3.7280701754385914</v>
      </c>
      <c r="K20" s="251">
        <f>((K4/K14)-1)*100</f>
        <v>-10.572687224669608</v>
      </c>
      <c r="L20" s="252">
        <f>((L4/L14)-1)*100</f>
        <v>3.3482142857142794</v>
      </c>
    </row>
    <row r="21" spans="1:12" ht="12.7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</row>
    <row r="22" spans="1:12" ht="12.75">
      <c r="A22" s="240" t="s">
        <v>271</v>
      </c>
      <c r="B22" s="256">
        <f>SUM(B23+B24+B25)</f>
        <v>936523.31</v>
      </c>
      <c r="C22" s="256">
        <f aca="true" t="shared" si="5" ref="C22:I22">SUM(C23+C24+C25)</f>
        <v>631643.4600000001</v>
      </c>
      <c r="D22" s="256">
        <f t="shared" si="5"/>
        <v>1099708.04</v>
      </c>
      <c r="E22" s="256">
        <f t="shared" si="5"/>
        <v>1004492.22</v>
      </c>
      <c r="F22" s="256">
        <f t="shared" si="5"/>
        <v>1313654.56</v>
      </c>
      <c r="G22" s="256">
        <f t="shared" si="5"/>
        <v>1016266.17</v>
      </c>
      <c r="H22" s="256">
        <f t="shared" si="5"/>
        <v>1159780.91</v>
      </c>
      <c r="I22" s="256">
        <f t="shared" si="5"/>
        <v>762390.77</v>
      </c>
      <c r="J22" s="256">
        <f>SUM(J23+J24+J25)</f>
        <v>959754.78</v>
      </c>
      <c r="K22" s="256">
        <f>SUM(K23+K24+K25)</f>
        <v>1016349.5599999999</v>
      </c>
      <c r="L22" s="257">
        <f>SUM(L23+L24+L25)</f>
        <v>1520279.3199999998</v>
      </c>
    </row>
    <row r="23" spans="1:12" ht="12.75">
      <c r="A23" s="258" t="s">
        <v>272</v>
      </c>
      <c r="B23" s="259">
        <v>721527.14</v>
      </c>
      <c r="C23" s="259">
        <v>419051.43</v>
      </c>
      <c r="D23" s="259">
        <v>831461.27</v>
      </c>
      <c r="E23" s="259">
        <v>768139.05</v>
      </c>
      <c r="F23" s="259">
        <v>1070394.29</v>
      </c>
      <c r="G23" s="259">
        <v>779025.4</v>
      </c>
      <c r="H23" s="259">
        <v>920517.78</v>
      </c>
      <c r="I23" s="259">
        <v>536062.06</v>
      </c>
      <c r="J23" s="259">
        <v>776083.03</v>
      </c>
      <c r="K23" s="259">
        <v>838814.44</v>
      </c>
      <c r="L23" s="260">
        <v>1326090.79</v>
      </c>
    </row>
    <row r="24" spans="1:12" ht="12.75">
      <c r="A24" s="258" t="s">
        <v>273</v>
      </c>
      <c r="B24" s="259">
        <f>29669.14+182126</f>
        <v>211795.14</v>
      </c>
      <c r="C24" s="259">
        <f>181036+29481.38</f>
        <v>210517.38</v>
      </c>
      <c r="D24" s="259">
        <f>193447+44386.26</f>
        <v>237833.26</v>
      </c>
      <c r="E24" s="259">
        <f>192223+34278.23</f>
        <v>226501.23</v>
      </c>
      <c r="F24" s="259">
        <f>176715+44316.57</f>
        <v>221031.57</v>
      </c>
      <c r="G24" s="259">
        <f>195174+34387.93</f>
        <v>229561.93</v>
      </c>
      <c r="H24" s="259">
        <f>195299+38873.67</f>
        <v>234172.66999999998</v>
      </c>
      <c r="I24" s="259">
        <f>171624+29080.36</f>
        <v>200704.36</v>
      </c>
      <c r="J24" s="259">
        <f>14708.56+164397</f>
        <v>179105.56</v>
      </c>
      <c r="K24" s="259">
        <f>154297+14420.79</f>
        <v>168717.79</v>
      </c>
      <c r="L24" s="260">
        <v>192151.36</v>
      </c>
    </row>
    <row r="25" spans="1:12" ht="12.75">
      <c r="A25" s="261" t="s">
        <v>274</v>
      </c>
      <c r="B25" s="262">
        <f>SUM(B26:B31)</f>
        <v>3201.0299999999997</v>
      </c>
      <c r="C25" s="262">
        <f aca="true" t="shared" si="6" ref="C25:I25">SUM(C26:C31)</f>
        <v>2074.65</v>
      </c>
      <c r="D25" s="262">
        <f t="shared" si="6"/>
        <v>30413.510000000002</v>
      </c>
      <c r="E25" s="262">
        <f t="shared" si="6"/>
        <v>9851.94</v>
      </c>
      <c r="F25" s="262">
        <f t="shared" si="6"/>
        <v>22228.7</v>
      </c>
      <c r="G25" s="262">
        <f t="shared" si="6"/>
        <v>7678.84</v>
      </c>
      <c r="H25" s="262">
        <f t="shared" si="6"/>
        <v>5090.46</v>
      </c>
      <c r="I25" s="262">
        <f t="shared" si="6"/>
        <v>25624.35</v>
      </c>
      <c r="J25" s="262">
        <f>SUM(J26:J31)</f>
        <v>4566.1900000000005</v>
      </c>
      <c r="K25" s="262">
        <f>SUM(K26:K31)</f>
        <v>8817.33</v>
      </c>
      <c r="L25" s="263">
        <f>SUM(L26:L31)</f>
        <v>2037.1699999999998</v>
      </c>
    </row>
    <row r="26" spans="1:12" ht="12.75">
      <c r="A26" s="264" t="s">
        <v>275</v>
      </c>
      <c r="B26" s="259">
        <v>2298.5</v>
      </c>
      <c r="C26" s="259">
        <v>2055.46</v>
      </c>
      <c r="D26" s="259">
        <v>2217.56</v>
      </c>
      <c r="E26" s="259">
        <v>2742.62</v>
      </c>
      <c r="F26" s="259">
        <v>5736.45</v>
      </c>
      <c r="G26" s="259">
        <f>4362.42+204+152.47</f>
        <v>4718.89</v>
      </c>
      <c r="H26" s="259">
        <v>713.91</v>
      </c>
      <c r="I26" s="259">
        <v>177.12</v>
      </c>
      <c r="J26" s="259">
        <v>262.2</v>
      </c>
      <c r="K26" s="259">
        <v>220.04</v>
      </c>
      <c r="L26" s="260">
        <v>0</v>
      </c>
    </row>
    <row r="27" spans="1:12" ht="12.75">
      <c r="A27" s="264" t="s">
        <v>276</v>
      </c>
      <c r="B27" s="259"/>
      <c r="C27" s="259"/>
      <c r="D27" s="259"/>
      <c r="E27" s="259"/>
      <c r="F27" s="259"/>
      <c r="G27" s="259">
        <v>497.98</v>
      </c>
      <c r="H27" s="259">
        <v>641.32</v>
      </c>
      <c r="I27" s="259">
        <v>741.03</v>
      </c>
      <c r="J27" s="259">
        <v>1544.72</v>
      </c>
      <c r="K27" s="259">
        <v>756.28</v>
      </c>
      <c r="L27" s="260">
        <v>763.06</v>
      </c>
    </row>
    <row r="28" spans="1:12" ht="12.75">
      <c r="A28" s="264" t="s">
        <v>277</v>
      </c>
      <c r="B28" s="259"/>
      <c r="C28" s="259"/>
      <c r="D28" s="259"/>
      <c r="E28" s="259">
        <v>5373.56</v>
      </c>
      <c r="F28" s="259"/>
      <c r="G28" s="259"/>
      <c r="H28" s="259"/>
      <c r="I28" s="259">
        <v>5240.09</v>
      </c>
      <c r="J28" s="259"/>
      <c r="K28" s="259">
        <v>5198.49</v>
      </c>
      <c r="L28" s="260"/>
    </row>
    <row r="29" spans="1:12" ht="12.75">
      <c r="A29" s="265" t="s">
        <v>278</v>
      </c>
      <c r="B29" s="266"/>
      <c r="C29" s="266"/>
      <c r="D29" s="266">
        <v>27462</v>
      </c>
      <c r="E29" s="266"/>
      <c r="F29" s="266">
        <v>15139.85</v>
      </c>
      <c r="G29" s="266"/>
      <c r="H29" s="266"/>
      <c r="I29" s="266">
        <v>15775.49</v>
      </c>
      <c r="J29" s="266"/>
      <c r="K29" s="266">
        <v>0</v>
      </c>
      <c r="L29" s="267"/>
    </row>
    <row r="30" spans="1:12" ht="12.75">
      <c r="A30" s="268" t="s">
        <v>282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>
        <v>1446.09</v>
      </c>
      <c r="L30" s="270"/>
    </row>
    <row r="31" spans="1:12" ht="25.5">
      <c r="A31" s="276" t="s">
        <v>283</v>
      </c>
      <c r="B31" s="269">
        <v>902.53</v>
      </c>
      <c r="C31" s="269">
        <v>19.19</v>
      </c>
      <c r="D31" s="269">
        <v>733.95</v>
      </c>
      <c r="E31" s="269">
        <v>1735.76</v>
      </c>
      <c r="F31" s="269">
        <v>1352.4</v>
      </c>
      <c r="G31" s="269">
        <v>2461.97</v>
      </c>
      <c r="H31" s="269">
        <v>3735.23</v>
      </c>
      <c r="I31" s="269">
        <v>3690.62</v>
      </c>
      <c r="J31" s="269">
        <f>1354.71+1404.56</f>
        <v>2759.27</v>
      </c>
      <c r="K31" s="269">
        <f>1116.55+79.88</f>
        <v>1196.4299999999998</v>
      </c>
      <c r="L31" s="270">
        <f>1224.11+50</f>
        <v>1274.11</v>
      </c>
    </row>
    <row r="32" spans="1:12" ht="12.75">
      <c r="A32" s="240" t="s">
        <v>279</v>
      </c>
      <c r="B32" s="256">
        <f>SUM(B33:B35)</f>
        <v>1395019.2000000002</v>
      </c>
      <c r="C32" s="256">
        <f aca="true" t="shared" si="7" ref="C32:H32">SUM(C33:C35)</f>
        <v>721622.82</v>
      </c>
      <c r="D32" s="256">
        <f t="shared" si="7"/>
        <v>875344.521</v>
      </c>
      <c r="E32" s="256">
        <f t="shared" si="7"/>
        <v>417847.24299999996</v>
      </c>
      <c r="F32" s="256">
        <f t="shared" si="7"/>
        <v>522818.92</v>
      </c>
      <c r="G32" s="256">
        <f t="shared" si="7"/>
        <v>780902.709</v>
      </c>
      <c r="H32" s="256">
        <f t="shared" si="7"/>
        <v>687373.8400000001</v>
      </c>
      <c r="I32" s="256">
        <f>SUM(I33:I35)</f>
        <v>480901.19800000003</v>
      </c>
      <c r="J32" s="256">
        <f>SUM(J33:J35)</f>
        <v>308638.10000000003</v>
      </c>
      <c r="K32" s="256">
        <f>SUM(K33:K35)</f>
        <v>480341.66</v>
      </c>
      <c r="L32" s="257">
        <f>SUM(L33:L35)</f>
        <v>611002.29</v>
      </c>
    </row>
    <row r="33" spans="1:12" ht="12.75">
      <c r="A33" s="258" t="s">
        <v>272</v>
      </c>
      <c r="B33" s="271">
        <v>1265658.57</v>
      </c>
      <c r="C33" s="271">
        <v>614715.71</v>
      </c>
      <c r="D33" s="271">
        <v>743780.79</v>
      </c>
      <c r="E33" s="271">
        <v>262110.32</v>
      </c>
      <c r="F33" s="271">
        <v>372545.24</v>
      </c>
      <c r="G33" s="271">
        <v>597417.3</v>
      </c>
      <c r="H33" s="271">
        <v>511297.78</v>
      </c>
      <c r="I33" s="271">
        <v>216266.35</v>
      </c>
      <c r="J33" s="271">
        <v>77813.17</v>
      </c>
      <c r="K33" s="271">
        <v>269498.73</v>
      </c>
      <c r="L33" s="260">
        <v>404615.24</v>
      </c>
    </row>
    <row r="34" spans="1:12" ht="12.75">
      <c r="A34" s="258" t="s">
        <v>273</v>
      </c>
      <c r="B34" s="271">
        <f>'[1]Mov.PortuarioMensual '!$C$37+'[1]Mov.PortuarioMensual '!$C$39</f>
        <v>129216.01000000001</v>
      </c>
      <c r="C34" s="271">
        <f>'[1]Mov.PortuarioMensual '!$D$37+'[1]Mov.PortuarioMensual '!$D$39</f>
        <v>106730.09</v>
      </c>
      <c r="D34" s="271">
        <f>'[1]Mov.PortuarioMensual '!$E$37+'[1]Mov.PortuarioMensual '!$E$39</f>
        <v>128397.911</v>
      </c>
      <c r="E34" s="271">
        <f>'[1]Mov.PortuarioMensual '!$F$37+'[1]Mov.PortuarioMensual '!$F$39</f>
        <v>134508.503</v>
      </c>
      <c r="F34" s="271">
        <f>'[1]Mov.PortuarioMensual '!$G$37+'[1]Mov.PortuarioMensual '!$G$39</f>
        <v>146786.25</v>
      </c>
      <c r="G34" s="271">
        <f>'[1]Mov.PortuarioMensual '!$H$37+'[1]Mov.PortuarioMensual '!$H$39</f>
        <v>178179.879</v>
      </c>
      <c r="H34" s="271">
        <f>'[1]Mov.PortuarioMensual '!$I$37+'[1]Mov.PortuarioMensual '!$I$39</f>
        <v>171616.65</v>
      </c>
      <c r="I34" s="271">
        <f>'[1]Mov.PortuarioMensual '!$J$37+'[1]Mov.PortuarioMensual '!$J$39</f>
        <v>259275.63799999998</v>
      </c>
      <c r="J34" s="271">
        <f>183804.87+44207.79</f>
        <v>228012.66</v>
      </c>
      <c r="K34" s="271">
        <f>173746.36+29541.62</f>
        <v>203287.97999999998</v>
      </c>
      <c r="L34" s="260">
        <f>174902.97+30023.06</f>
        <v>204926.03</v>
      </c>
    </row>
    <row r="35" spans="1:12" ht="12.75">
      <c r="A35" s="261" t="s">
        <v>274</v>
      </c>
      <c r="B35" s="262">
        <f aca="true" t="shared" si="8" ref="B35:I35">SUM(B36:B38)</f>
        <v>144.62</v>
      </c>
      <c r="C35" s="262">
        <f t="shared" si="8"/>
        <v>177.02</v>
      </c>
      <c r="D35" s="262">
        <f t="shared" si="8"/>
        <v>3165.8199999999997</v>
      </c>
      <c r="E35" s="262">
        <f t="shared" si="8"/>
        <v>21228.42</v>
      </c>
      <c r="F35" s="262">
        <f t="shared" si="8"/>
        <v>3487.4300000000003</v>
      </c>
      <c r="G35" s="262">
        <f t="shared" si="8"/>
        <v>5305.53</v>
      </c>
      <c r="H35" s="262">
        <f t="shared" si="8"/>
        <v>4459.41</v>
      </c>
      <c r="I35" s="262">
        <f t="shared" si="8"/>
        <v>5359.21</v>
      </c>
      <c r="J35" s="262">
        <f>SUM(J36:J38)</f>
        <v>2812.27</v>
      </c>
      <c r="K35" s="262">
        <f>SUM(K36:K38)</f>
        <v>7554.950000000001</v>
      </c>
      <c r="L35" s="263">
        <f>SUM(L36:L38)</f>
        <v>1461.02</v>
      </c>
    </row>
    <row r="36" spans="1:12" ht="12.75">
      <c r="A36" s="264" t="s">
        <v>275</v>
      </c>
      <c r="B36" s="259"/>
      <c r="C36" s="259"/>
      <c r="D36" s="259"/>
      <c r="E36" s="259">
        <v>2769.67</v>
      </c>
      <c r="F36" s="259">
        <v>3325.69</v>
      </c>
      <c r="G36" s="259">
        <v>4106.24</v>
      </c>
      <c r="H36" s="259">
        <v>3533.7</v>
      </c>
      <c r="I36" s="259">
        <v>3661.01</v>
      </c>
      <c r="J36" s="259">
        <v>2736.77</v>
      </c>
      <c r="K36" s="259">
        <v>4330.8</v>
      </c>
      <c r="L36" s="260">
        <v>1245.02</v>
      </c>
    </row>
    <row r="37" spans="1:12" ht="12.75">
      <c r="A37" s="264" t="s">
        <v>277</v>
      </c>
      <c r="B37" s="259"/>
      <c r="C37" s="259"/>
      <c r="D37" s="259">
        <v>1381.01</v>
      </c>
      <c r="E37" s="259"/>
      <c r="F37" s="259"/>
      <c r="G37" s="259"/>
      <c r="H37" s="259"/>
      <c r="I37" s="259"/>
      <c r="J37" s="259"/>
      <c r="K37" s="259"/>
      <c r="L37" s="260"/>
    </row>
    <row r="38" spans="1:12" ht="12.75">
      <c r="A38" s="268" t="s">
        <v>284</v>
      </c>
      <c r="B38" s="269">
        <v>144.62</v>
      </c>
      <c r="C38" s="269">
        <v>177.02</v>
      </c>
      <c r="D38" s="269">
        <v>1784.81</v>
      </c>
      <c r="E38" s="269">
        <v>18458.75</v>
      </c>
      <c r="F38" s="269">
        <v>161.74</v>
      </c>
      <c r="G38" s="269">
        <v>1199.29</v>
      </c>
      <c r="H38" s="269">
        <v>925.71</v>
      </c>
      <c r="I38" s="269">
        <v>1698.2</v>
      </c>
      <c r="J38" s="269">
        <v>75.5</v>
      </c>
      <c r="K38" s="269">
        <v>3224.15</v>
      </c>
      <c r="L38" s="270">
        <v>216</v>
      </c>
    </row>
    <row r="39" spans="1:12" ht="12.75">
      <c r="A39" s="240" t="s">
        <v>280</v>
      </c>
      <c r="B39" s="256">
        <f>SUM(B40:B42)</f>
        <v>846209</v>
      </c>
      <c r="C39" s="256">
        <f aca="true" t="shared" si="9" ref="C39:I39">SUM(C40:C42)</f>
        <v>846209</v>
      </c>
      <c r="D39" s="256">
        <f t="shared" si="9"/>
        <v>856209</v>
      </c>
      <c r="E39" s="256">
        <f t="shared" si="9"/>
        <v>856209</v>
      </c>
      <c r="F39" s="256">
        <f t="shared" si="9"/>
        <v>857609</v>
      </c>
      <c r="G39" s="256">
        <f t="shared" si="9"/>
        <v>856548</v>
      </c>
      <c r="H39" s="256">
        <f t="shared" si="9"/>
        <v>849709</v>
      </c>
      <c r="I39" s="256">
        <f t="shared" si="9"/>
        <v>849709</v>
      </c>
      <c r="J39" s="256">
        <f>SUM(J40:J42)</f>
        <v>868092</v>
      </c>
      <c r="K39" s="256">
        <f>SUM(K40:K42)</f>
        <v>881065</v>
      </c>
      <c r="L39" s="257">
        <f>SUM(L40:L42)</f>
        <v>871065</v>
      </c>
    </row>
    <row r="40" spans="1:12" ht="12.75">
      <c r="A40" s="258" t="s">
        <v>272</v>
      </c>
      <c r="B40" s="259">
        <v>714286</v>
      </c>
      <c r="C40" s="259">
        <v>714286</v>
      </c>
      <c r="D40" s="259">
        <v>714286</v>
      </c>
      <c r="E40" s="259">
        <v>714286</v>
      </c>
      <c r="F40" s="259">
        <v>714286</v>
      </c>
      <c r="G40" s="259">
        <v>714286</v>
      </c>
      <c r="H40" s="259">
        <v>714286</v>
      </c>
      <c r="I40" s="259">
        <v>714286</v>
      </c>
      <c r="J40" s="259">
        <v>714286</v>
      </c>
      <c r="K40" s="259">
        <v>714286</v>
      </c>
      <c r="L40" s="260">
        <v>714286</v>
      </c>
    </row>
    <row r="41" spans="1:12" ht="12.75">
      <c r="A41" s="258" t="s">
        <v>273</v>
      </c>
      <c r="B41" s="259">
        <v>124525</v>
      </c>
      <c r="C41" s="259">
        <v>124525</v>
      </c>
      <c r="D41" s="259">
        <v>124525</v>
      </c>
      <c r="E41" s="259">
        <v>124525</v>
      </c>
      <c r="F41" s="259">
        <v>123125</v>
      </c>
      <c r="G41" s="259">
        <v>132064</v>
      </c>
      <c r="H41" s="259">
        <v>121025</v>
      </c>
      <c r="I41" s="259">
        <v>121025</v>
      </c>
      <c r="J41" s="259">
        <v>139408</v>
      </c>
      <c r="K41" s="259">
        <v>142381</v>
      </c>
      <c r="L41" s="260">
        <v>142381</v>
      </c>
    </row>
    <row r="42" spans="1:12" ht="12.75">
      <c r="A42" s="261" t="s">
        <v>274</v>
      </c>
      <c r="B42" s="259">
        <v>7398</v>
      </c>
      <c r="C42" s="259">
        <v>7398</v>
      </c>
      <c r="D42" s="259">
        <v>17398</v>
      </c>
      <c r="E42" s="259">
        <v>17398</v>
      </c>
      <c r="F42" s="259">
        <v>20198</v>
      </c>
      <c r="G42" s="259">
        <v>10198</v>
      </c>
      <c r="H42" s="259">
        <v>14398</v>
      </c>
      <c r="I42" s="259">
        <v>14398</v>
      </c>
      <c r="J42" s="259">
        <v>14398</v>
      </c>
      <c r="K42" s="259">
        <v>24398</v>
      </c>
      <c r="L42" s="260">
        <v>14398</v>
      </c>
    </row>
    <row r="43" spans="1:12" ht="12.75">
      <c r="A43" s="261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60"/>
    </row>
    <row r="44" spans="1:12" ht="12.75">
      <c r="A44" s="250" t="s">
        <v>269</v>
      </c>
      <c r="B44" s="251">
        <f>((B22/B32)-1)*100</f>
        <v>-32.86663653088072</v>
      </c>
      <c r="C44" s="251">
        <f aca="true" t="shared" si="10" ref="C44:H44">((C22/C32)-1)*100</f>
        <v>-12.469029180645908</v>
      </c>
      <c r="D44" s="251">
        <f t="shared" si="10"/>
        <v>25.631452944228815</v>
      </c>
      <c r="E44" s="251">
        <f t="shared" si="10"/>
        <v>140.39699599023083</v>
      </c>
      <c r="F44" s="251">
        <f t="shared" si="10"/>
        <v>151.26377599341666</v>
      </c>
      <c r="G44" s="251">
        <f t="shared" si="10"/>
        <v>30.13992118191</v>
      </c>
      <c r="H44" s="251">
        <f t="shared" si="10"/>
        <v>68.72636729963418</v>
      </c>
      <c r="I44" s="251">
        <f>((I22/I32)-1)*100</f>
        <v>58.53376393543523</v>
      </c>
      <c r="J44" s="251">
        <f>((J22/J32)-1)*100</f>
        <v>210.9644531896742</v>
      </c>
      <c r="K44" s="251">
        <f>((K22/K32)-1)*100</f>
        <v>111.58888446194734</v>
      </c>
      <c r="L44" s="252">
        <f>((L22/L32)-1)*100</f>
        <v>148.81728675681393</v>
      </c>
    </row>
    <row r="45" spans="1:12" ht="12.75">
      <c r="A45" s="250" t="s">
        <v>270</v>
      </c>
      <c r="B45" s="251">
        <f>((B22/B39)-1)*100</f>
        <v>10.672813690234918</v>
      </c>
      <c r="C45" s="251">
        <f aca="true" t="shared" si="11" ref="C45:H45">((C22/C39)-1)*100</f>
        <v>-25.35609288012771</v>
      </c>
      <c r="D45" s="251">
        <f t="shared" si="11"/>
        <v>28.43920584810484</v>
      </c>
      <c r="E45" s="251">
        <f t="shared" si="11"/>
        <v>17.31857759028461</v>
      </c>
      <c r="F45" s="251">
        <f t="shared" si="11"/>
        <v>53.176396236513376</v>
      </c>
      <c r="G45" s="251">
        <f t="shared" si="11"/>
        <v>18.646727328766175</v>
      </c>
      <c r="H45" s="251">
        <f t="shared" si="11"/>
        <v>36.49154122175944</v>
      </c>
      <c r="I45" s="251">
        <f>((I22/I39)-1)*100</f>
        <v>-10.276251045946317</v>
      </c>
      <c r="J45" s="251">
        <f>((J22/J39)-1)*100</f>
        <v>10.559108942370177</v>
      </c>
      <c r="K45" s="251">
        <f>((K22/K39)-1)*100</f>
        <v>15.354662822833731</v>
      </c>
      <c r="L45" s="252">
        <f>((L22/L39)-1)*100</f>
        <v>74.5310992865056</v>
      </c>
    </row>
    <row r="46" spans="1:12" ht="13.5" thickBot="1">
      <c r="A46" s="272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2011-02-16T15:17:25Z</dcterms:modified>
  <cp:category/>
  <cp:version/>
  <cp:contentType/>
  <cp:contentStatus/>
</cp:coreProperties>
</file>